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workbookProtection workbookPassword="CF02" lockStructure="1"/>
  <bookViews>
    <workbookView xWindow="0" yWindow="0" windowWidth="15480" windowHeight="11640" tabRatio="786"/>
  </bookViews>
  <sheets>
    <sheet name="Kitöltési útmutató" sheetId="17" r:id="rId1"/>
    <sheet name="Overview" sheetId="14" r:id="rId2"/>
    <sheet name="KA2_SP_TIMELINE_TEMPLATE" sheetId="18" r:id="rId3"/>
    <sheet name="Management" sheetId="15" r:id="rId4"/>
    <sheet name="Partner meetings" sheetId="16" r:id="rId5"/>
    <sheet name="Intellectual outputs" sheetId="1" r:id="rId6"/>
    <sheet name="Multiplier events" sheetId="5" r:id="rId7"/>
    <sheet name="AE Transnat. training-teaching" sheetId="21" r:id="rId8"/>
    <sheet name="SE Transnat. training-teaching" sheetId="19" r:id="rId9"/>
    <sheet name="VET Transnat. training-teaching" sheetId="4" r:id="rId10"/>
    <sheet name="Youth Transnat. training-teach" sheetId="20" r:id="rId11"/>
    <sheet name="HE Transnat. training-teaching" sheetId="22" r:id="rId12"/>
    <sheet name="Exceptional costs" sheetId="6" r:id="rId13"/>
    <sheet name="Special needs" sheetId="8" r:id="rId14"/>
    <sheet name="Total grant requested" sheetId="2" r:id="rId15"/>
    <sheet name="Ceilings" sheetId="12" state="hidden" r:id="rId16"/>
  </sheets>
  <definedNames>
    <definedName name="_xlnm._FilterDatabase" localSheetId="15" hidden="1">Ceilings!$A$3:$Q$67</definedName>
    <definedName name="_xlnm._FilterDatabase" localSheetId="1" hidden="1">Overview!#REF!</definedName>
    <definedName name="A_Activity_t">Ceilings!$J$52:$J$54</definedName>
    <definedName name="Activity_t">Ceilings!$J$40</definedName>
    <definedName name="Ceilings">Ceilings!$B$5:$G$66</definedName>
    <definedName name="Countries">Ceilings!$A$4:$A$206</definedName>
    <definedName name="dCountries">Ceilings!$M$4:$M$37</definedName>
    <definedName name="Distances">Ceilings!$X$4:$X$5</definedName>
    <definedName name="Duration">Ceilings!$J$9:$J$33</definedName>
    <definedName name="End">Overview!$C$11</definedName>
    <definedName name="H_Activity_t">Ceilings!$J$55:$J$60</definedName>
    <definedName name="Limit">Ceilings!$J$9:$K$33</definedName>
    <definedName name="_xlnm.Print_Titles" localSheetId="7">'AE Transnat. training-teaching'!$4:$4</definedName>
    <definedName name="_xlnm.Print_Titles" localSheetId="12">'Exceptional costs'!$4:$4</definedName>
    <definedName name="_xlnm.Print_Titles" localSheetId="11">'HE Transnat. training-teaching'!$4:$4</definedName>
    <definedName name="_xlnm.Print_Titles" localSheetId="5">'Intellectual outputs'!$3:$5</definedName>
    <definedName name="_xlnm.Print_Titles" localSheetId="6">'Multiplier events'!$4:$4</definedName>
    <definedName name="_xlnm.Print_Titles" localSheetId="4">'Partner meetings'!$4:$5</definedName>
    <definedName name="_xlnm.Print_Titles" localSheetId="8">'SE Transnat. training-teaching'!$4:$4</definedName>
    <definedName name="_xlnm.Print_Titles" localSheetId="13">'Special needs'!$4:$4</definedName>
    <definedName name="_xlnm.Print_Titles" localSheetId="9">'VET Transnat. training-teaching'!$4:$4</definedName>
    <definedName name="_xlnm.Print_Titles" localSheetId="10">'Youth Transnat. training-teach'!$4:$4</definedName>
    <definedName name="_xlnm.Print_Area" localSheetId="15">Ceilings!$A$1:$I$66</definedName>
    <definedName name="_xlnm.Print_Area" localSheetId="12">'Exceptional costs'!$A$1:$F$36</definedName>
    <definedName name="_xlnm.Print_Area" localSheetId="0">'Kitöltési útmutató'!$A$1:$M$52</definedName>
    <definedName name="_xlnm.Print_Area" localSheetId="3">Management!$A$1:$F$20</definedName>
    <definedName name="_xlnm.Print_Area" localSheetId="6">'Multiplier events'!$A$1:$H$36</definedName>
    <definedName name="_xlnm.Print_Area" localSheetId="4">'Partner meetings'!$A$1:$J$108</definedName>
    <definedName name="_xlnm.Print_Area" localSheetId="14">'Total grant requested'!$A$1:$I$21</definedName>
    <definedName name="Partners">Management!$A$5:$A$20</definedName>
    <definedName name="PCountries">Ceilings!$A$4:$A$40</definedName>
    <definedName name="Rates">Ceilings!$A$5:$G$66</definedName>
    <definedName name="S_Activity_t">Ceilings!$J$44:$J$48</definedName>
    <definedName name="Start">Overview!$C$9</definedName>
    <definedName name="Subsistence">Ceilings!$M$4:$Q$37</definedName>
    <definedName name="V_Activity_t">Ceilings!$J$41:$J$43</definedName>
    <definedName name="Y_Activity_t">Ceilings!$J$49:$J$51</definedName>
  </definedNames>
  <calcPr calcId="145621" concurrentCalc="0"/>
</workbook>
</file>

<file path=xl/calcChain.xml><?xml version="1.0" encoding="utf-8"?>
<calcChain xmlns="http://schemas.openxmlformats.org/spreadsheetml/2006/main">
  <c r="F6" i="2" l="1"/>
  <c r="J7" i="16"/>
  <c r="D11" i="14"/>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6" i="6"/>
  <c r="G15" i="2"/>
  <c r="S11" i="4"/>
  <c r="S12" i="4"/>
  <c r="S13" i="4"/>
  <c r="S14" i="4"/>
  <c r="B7" i="4"/>
  <c r="S7" i="4"/>
  <c r="M7" i="4"/>
  <c r="N7" i="4"/>
  <c r="P7" i="4"/>
  <c r="O7" i="4"/>
  <c r="R7" i="4"/>
  <c r="B8" i="4"/>
  <c r="S8" i="4"/>
  <c r="M8" i="4"/>
  <c r="N8" i="4"/>
  <c r="O8" i="4"/>
  <c r="P8" i="4"/>
  <c r="R8" i="4"/>
  <c r="B9" i="4"/>
  <c r="M9" i="4"/>
  <c r="N9" i="4"/>
  <c r="O9" i="4"/>
  <c r="P9" i="4"/>
  <c r="R9" i="4"/>
  <c r="S9" i="4"/>
  <c r="B10" i="4"/>
  <c r="S10" i="4"/>
  <c r="M10" i="4"/>
  <c r="N10" i="4"/>
  <c r="P10" i="4"/>
  <c r="O10" i="4"/>
  <c r="R10" i="4"/>
  <c r="S15" i="4"/>
  <c r="S16" i="4"/>
  <c r="S17" i="4"/>
  <c r="S18" i="4"/>
  <c r="S19" i="4"/>
  <c r="S20" i="4"/>
  <c r="S21" i="4"/>
  <c r="S22" i="4"/>
  <c r="S23" i="4"/>
  <c r="S24" i="4"/>
  <c r="S25" i="4"/>
  <c r="S26" i="4"/>
  <c r="S27" i="4"/>
  <c r="S28" i="4"/>
  <c r="S29" i="4"/>
  <c r="S30" i="4"/>
  <c r="S31" i="4"/>
  <c r="S32" i="4"/>
  <c r="S33" i="4"/>
  <c r="S34" i="4"/>
  <c r="S35" i="4"/>
  <c r="S36" i="4"/>
  <c r="S37" i="4"/>
  <c r="S11" i="21"/>
  <c r="S12" i="21"/>
  <c r="S13" i="21"/>
  <c r="S14" i="21"/>
  <c r="B7" i="21"/>
  <c r="M7" i="21"/>
  <c r="N7" i="21"/>
  <c r="P7" i="21"/>
  <c r="O7" i="21"/>
  <c r="R7" i="21"/>
  <c r="S7" i="21"/>
  <c r="S6" i="21"/>
  <c r="B8" i="21"/>
  <c r="M8" i="21"/>
  <c r="N8" i="21"/>
  <c r="P8" i="21"/>
  <c r="O8" i="21"/>
  <c r="R8" i="21"/>
  <c r="R6" i="21"/>
  <c r="S8" i="21"/>
  <c r="B9" i="21"/>
  <c r="S9" i="21"/>
  <c r="M9" i="21"/>
  <c r="N9" i="21"/>
  <c r="P9" i="21"/>
  <c r="O9" i="21"/>
  <c r="R9" i="21"/>
  <c r="B10" i="21"/>
  <c r="M10" i="21"/>
  <c r="N10" i="21"/>
  <c r="O10" i="21"/>
  <c r="P10" i="21"/>
  <c r="R10" i="21"/>
  <c r="S10" i="21"/>
  <c r="S15" i="21"/>
  <c r="S16" i="21"/>
  <c r="S17" i="21"/>
  <c r="S18" i="21"/>
  <c r="S19" i="21"/>
  <c r="S20" i="21"/>
  <c r="S21" i="21"/>
  <c r="S22" i="21"/>
  <c r="S23" i="21"/>
  <c r="S24" i="21"/>
  <c r="S25" i="21"/>
  <c r="S26" i="21"/>
  <c r="S27" i="21"/>
  <c r="S28" i="21"/>
  <c r="S29" i="21"/>
  <c r="S30" i="21"/>
  <c r="S31" i="21"/>
  <c r="S32" i="21"/>
  <c r="S33" i="21"/>
  <c r="S34" i="21"/>
  <c r="S35" i="21"/>
  <c r="S36" i="21"/>
  <c r="S37" i="21"/>
  <c r="A21" i="2"/>
  <c r="E21" i="2"/>
  <c r="A20" i="2"/>
  <c r="A19" i="2"/>
  <c r="C19" i="2"/>
  <c r="A18" i="2"/>
  <c r="A17" i="2"/>
  <c r="A16" i="2"/>
  <c r="A15" i="2"/>
  <c r="D15" i="2"/>
  <c r="A14" i="2"/>
  <c r="D14" i="2"/>
  <c r="A13" i="2"/>
  <c r="H13" i="2"/>
  <c r="A12" i="2"/>
  <c r="A11" i="2"/>
  <c r="E11" i="2"/>
  <c r="A10" i="2"/>
  <c r="A9" i="2"/>
  <c r="A8" i="2"/>
  <c r="A7" i="2"/>
  <c r="E7" i="2"/>
  <c r="O10" i="20"/>
  <c r="N8" i="22"/>
  <c r="P8" i="22"/>
  <c r="N9" i="22"/>
  <c r="P9" i="22"/>
  <c r="N10" i="22"/>
  <c r="P10" i="22"/>
  <c r="N11" i="22"/>
  <c r="N12" i="22"/>
  <c r="P12" i="22"/>
  <c r="N13" i="22"/>
  <c r="P13" i="22"/>
  <c r="N14" i="22"/>
  <c r="N15" i="22"/>
  <c r="N16" i="22"/>
  <c r="N17" i="22"/>
  <c r="N18" i="22"/>
  <c r="N19" i="22"/>
  <c r="N20" i="22"/>
  <c r="N21" i="22"/>
  <c r="N22" i="22"/>
  <c r="N23" i="22"/>
  <c r="N24" i="22"/>
  <c r="N25" i="22"/>
  <c r="N26" i="22"/>
  <c r="N27" i="22"/>
  <c r="N28" i="22"/>
  <c r="N29" i="22"/>
  <c r="N30" i="22"/>
  <c r="N31" i="22"/>
  <c r="N32" i="22"/>
  <c r="N33" i="22"/>
  <c r="N34" i="22"/>
  <c r="N35" i="22"/>
  <c r="N36" i="22"/>
  <c r="N37" i="22"/>
  <c r="N7" i="22"/>
  <c r="P7" i="22"/>
  <c r="S37" i="22"/>
  <c r="R37" i="22"/>
  <c r="P37" i="22"/>
  <c r="O37" i="22"/>
  <c r="M37" i="22"/>
  <c r="J37" i="22"/>
  <c r="G37" i="22"/>
  <c r="B37" i="22"/>
  <c r="S36" i="22"/>
  <c r="R36" i="22"/>
  <c r="P36" i="22"/>
  <c r="O36" i="22"/>
  <c r="M36" i="22"/>
  <c r="J36" i="22"/>
  <c r="G36" i="22"/>
  <c r="B36" i="22"/>
  <c r="S35" i="22"/>
  <c r="R35" i="22"/>
  <c r="P35" i="22"/>
  <c r="O35" i="22"/>
  <c r="M35" i="22"/>
  <c r="J35" i="22"/>
  <c r="G35" i="22"/>
  <c r="B35" i="22"/>
  <c r="S34" i="22"/>
  <c r="R34" i="22"/>
  <c r="P34" i="22"/>
  <c r="O34" i="22"/>
  <c r="M34" i="22"/>
  <c r="J34" i="22"/>
  <c r="G34" i="22"/>
  <c r="B34" i="22"/>
  <c r="S33" i="22"/>
  <c r="R33" i="22"/>
  <c r="P33" i="22"/>
  <c r="O33" i="22"/>
  <c r="M33" i="22"/>
  <c r="J33" i="22"/>
  <c r="G33" i="22"/>
  <c r="B33" i="22"/>
  <c r="S32" i="22"/>
  <c r="R32" i="22"/>
  <c r="P32" i="22"/>
  <c r="O32" i="22"/>
  <c r="M32" i="22"/>
  <c r="J32" i="22"/>
  <c r="G32" i="22"/>
  <c r="B32" i="22"/>
  <c r="S31" i="22"/>
  <c r="R31" i="22"/>
  <c r="P31" i="22"/>
  <c r="O31" i="22"/>
  <c r="M31" i="22"/>
  <c r="J31" i="22"/>
  <c r="G31" i="22"/>
  <c r="B31" i="22"/>
  <c r="S30" i="22"/>
  <c r="R30" i="22"/>
  <c r="P30" i="22"/>
  <c r="O30" i="22"/>
  <c r="M30" i="22"/>
  <c r="J30" i="22"/>
  <c r="G30" i="22"/>
  <c r="B30" i="22"/>
  <c r="S29" i="22"/>
  <c r="R29" i="22"/>
  <c r="P29" i="22"/>
  <c r="O29" i="22"/>
  <c r="M29" i="22"/>
  <c r="J29" i="22"/>
  <c r="G29" i="22"/>
  <c r="B29" i="22"/>
  <c r="S28" i="22"/>
  <c r="R28" i="22"/>
  <c r="P28" i="22"/>
  <c r="O28" i="22"/>
  <c r="M28" i="22"/>
  <c r="J28" i="22"/>
  <c r="G28" i="22"/>
  <c r="B28" i="22"/>
  <c r="S27" i="22"/>
  <c r="R27" i="22"/>
  <c r="P27" i="22"/>
  <c r="O27" i="22"/>
  <c r="M27" i="22"/>
  <c r="J27" i="22"/>
  <c r="G27" i="22"/>
  <c r="B27" i="22"/>
  <c r="S26" i="22"/>
  <c r="R26" i="22"/>
  <c r="P26" i="22"/>
  <c r="O26" i="22"/>
  <c r="M26" i="22"/>
  <c r="J26" i="22"/>
  <c r="G26" i="22"/>
  <c r="B26" i="22"/>
  <c r="S25" i="22"/>
  <c r="R25" i="22"/>
  <c r="P25" i="22"/>
  <c r="O25" i="22"/>
  <c r="M25" i="22"/>
  <c r="J25" i="22"/>
  <c r="G25" i="22"/>
  <c r="B25" i="22"/>
  <c r="S24" i="22"/>
  <c r="R24" i="22"/>
  <c r="P24" i="22"/>
  <c r="O24" i="22"/>
  <c r="M24" i="22"/>
  <c r="J24" i="22"/>
  <c r="G24" i="22"/>
  <c r="B24" i="22"/>
  <c r="S23" i="22"/>
  <c r="R23" i="22"/>
  <c r="P23" i="22"/>
  <c r="O23" i="22"/>
  <c r="M23" i="22"/>
  <c r="J23" i="22"/>
  <c r="G23" i="22"/>
  <c r="B23" i="22"/>
  <c r="S22" i="22"/>
  <c r="R22" i="22"/>
  <c r="P22" i="22"/>
  <c r="O22" i="22"/>
  <c r="M22" i="22"/>
  <c r="J22" i="22"/>
  <c r="G22" i="22"/>
  <c r="B22" i="22"/>
  <c r="S21" i="22"/>
  <c r="R21" i="22"/>
  <c r="P21" i="22"/>
  <c r="O21" i="22"/>
  <c r="M21" i="22"/>
  <c r="J21" i="22"/>
  <c r="G21" i="22"/>
  <c r="B21" i="22"/>
  <c r="S20" i="22"/>
  <c r="R20" i="22"/>
  <c r="P20" i="22"/>
  <c r="O20" i="22"/>
  <c r="M20" i="22"/>
  <c r="J20" i="22"/>
  <c r="G20" i="22"/>
  <c r="B20" i="22"/>
  <c r="S19" i="22"/>
  <c r="R19" i="22"/>
  <c r="P19" i="22"/>
  <c r="O19" i="22"/>
  <c r="M19" i="22"/>
  <c r="J19" i="22"/>
  <c r="G19" i="22"/>
  <c r="B19" i="22"/>
  <c r="S18" i="22"/>
  <c r="R18" i="22"/>
  <c r="P18" i="22"/>
  <c r="O18" i="22"/>
  <c r="M18" i="22"/>
  <c r="J18" i="22"/>
  <c r="G18" i="22"/>
  <c r="B18" i="22"/>
  <c r="S17" i="22"/>
  <c r="R17" i="22"/>
  <c r="P17" i="22"/>
  <c r="O17" i="22"/>
  <c r="M17" i="22"/>
  <c r="J17" i="22"/>
  <c r="G17" i="22"/>
  <c r="B17" i="22"/>
  <c r="S16" i="22"/>
  <c r="R16" i="22"/>
  <c r="P16" i="22"/>
  <c r="O16" i="22"/>
  <c r="M16" i="22"/>
  <c r="J16" i="22"/>
  <c r="G16" i="22"/>
  <c r="B16" i="22"/>
  <c r="S15" i="22"/>
  <c r="R15" i="22"/>
  <c r="P15" i="22"/>
  <c r="O15" i="22"/>
  <c r="M15" i="22"/>
  <c r="J15" i="22"/>
  <c r="G15" i="22"/>
  <c r="B15" i="22"/>
  <c r="S14" i="22"/>
  <c r="R14" i="22"/>
  <c r="P14" i="22"/>
  <c r="O14" i="22"/>
  <c r="M14" i="22"/>
  <c r="J14" i="22"/>
  <c r="G14" i="22"/>
  <c r="B14" i="22"/>
  <c r="S13" i="22"/>
  <c r="R13" i="22"/>
  <c r="O13" i="22"/>
  <c r="M13" i="22"/>
  <c r="J13" i="22"/>
  <c r="G13" i="22"/>
  <c r="B13" i="22"/>
  <c r="R12" i="22"/>
  <c r="O12" i="22"/>
  <c r="M12" i="22"/>
  <c r="J12" i="22"/>
  <c r="G12" i="22"/>
  <c r="B12" i="22"/>
  <c r="S12" i="22"/>
  <c r="R11" i="22"/>
  <c r="O11" i="22"/>
  <c r="P11" i="22"/>
  <c r="M11" i="22"/>
  <c r="J11" i="22"/>
  <c r="G11" i="22"/>
  <c r="B11" i="22"/>
  <c r="S11" i="22"/>
  <c r="B10" i="22"/>
  <c r="S10" i="22"/>
  <c r="M10" i="22"/>
  <c r="O10" i="22"/>
  <c r="R10" i="22"/>
  <c r="J10" i="22"/>
  <c r="G10" i="22"/>
  <c r="B9" i="22"/>
  <c r="S9" i="22"/>
  <c r="M9" i="22"/>
  <c r="O9" i="22"/>
  <c r="R9" i="22"/>
  <c r="J9" i="22"/>
  <c r="G9" i="22"/>
  <c r="B8" i="22"/>
  <c r="S8" i="22"/>
  <c r="M8" i="22"/>
  <c r="O8" i="22"/>
  <c r="R8" i="22"/>
  <c r="J8" i="22"/>
  <c r="G8" i="22"/>
  <c r="B7" i="22"/>
  <c r="S7" i="22"/>
  <c r="M7" i="22"/>
  <c r="O7" i="22"/>
  <c r="R7" i="22"/>
  <c r="R6" i="22"/>
  <c r="J7" i="22"/>
  <c r="G7" i="22"/>
  <c r="R37" i="21"/>
  <c r="N37" i="21"/>
  <c r="P37" i="21"/>
  <c r="O37" i="21"/>
  <c r="M37" i="21"/>
  <c r="J37" i="21"/>
  <c r="G37" i="21"/>
  <c r="B37" i="21"/>
  <c r="R36" i="21"/>
  <c r="N36" i="21"/>
  <c r="P36" i="21"/>
  <c r="O36" i="21"/>
  <c r="M36" i="21"/>
  <c r="J36" i="21"/>
  <c r="G36" i="21"/>
  <c r="B36" i="21"/>
  <c r="R35" i="21"/>
  <c r="N35" i="21"/>
  <c r="P35" i="21"/>
  <c r="O35" i="21"/>
  <c r="M35" i="21"/>
  <c r="J35" i="21"/>
  <c r="G35" i="21"/>
  <c r="B35" i="21"/>
  <c r="R34" i="21"/>
  <c r="N34" i="21"/>
  <c r="P34" i="21"/>
  <c r="O34" i="21"/>
  <c r="M34" i="21"/>
  <c r="J34" i="21"/>
  <c r="G34" i="21"/>
  <c r="B34" i="21"/>
  <c r="R33" i="21"/>
  <c r="N33" i="21"/>
  <c r="P33" i="21"/>
  <c r="O33" i="21"/>
  <c r="M33" i="21"/>
  <c r="J33" i="21"/>
  <c r="G33" i="21"/>
  <c r="B33" i="21"/>
  <c r="R32" i="21"/>
  <c r="N32" i="21"/>
  <c r="P32" i="21"/>
  <c r="O32" i="21"/>
  <c r="M32" i="21"/>
  <c r="J32" i="21"/>
  <c r="G32" i="21"/>
  <c r="B32" i="21"/>
  <c r="R31" i="21"/>
  <c r="N31" i="21"/>
  <c r="P31" i="21"/>
  <c r="O31" i="21"/>
  <c r="M31" i="21"/>
  <c r="J31" i="21"/>
  <c r="G31" i="21"/>
  <c r="B31" i="21"/>
  <c r="R30" i="21"/>
  <c r="N30" i="21"/>
  <c r="P30" i="21"/>
  <c r="O30" i="21"/>
  <c r="M30" i="21"/>
  <c r="J30" i="21"/>
  <c r="G30" i="21"/>
  <c r="B30" i="21"/>
  <c r="R29" i="21"/>
  <c r="N29" i="21"/>
  <c r="P29" i="21"/>
  <c r="O29" i="21"/>
  <c r="M29" i="21"/>
  <c r="J29" i="21"/>
  <c r="G29" i="21"/>
  <c r="B29" i="21"/>
  <c r="R28" i="21"/>
  <c r="N28" i="21"/>
  <c r="P28" i="21"/>
  <c r="O28" i="21"/>
  <c r="M28" i="21"/>
  <c r="J28" i="21"/>
  <c r="G28" i="21"/>
  <c r="B28" i="21"/>
  <c r="R27" i="21"/>
  <c r="N27" i="21"/>
  <c r="P27" i="21"/>
  <c r="O27" i="21"/>
  <c r="M27" i="21"/>
  <c r="J27" i="21"/>
  <c r="G27" i="21"/>
  <c r="B27" i="21"/>
  <c r="R26" i="21"/>
  <c r="N26" i="21"/>
  <c r="P26" i="21"/>
  <c r="O26" i="21"/>
  <c r="M26" i="21"/>
  <c r="J26" i="21"/>
  <c r="G26" i="21"/>
  <c r="B26" i="21"/>
  <c r="R25" i="21"/>
  <c r="N25" i="21"/>
  <c r="P25" i="21"/>
  <c r="O25" i="21"/>
  <c r="M25" i="21"/>
  <c r="J25" i="21"/>
  <c r="G25" i="21"/>
  <c r="B25" i="21"/>
  <c r="R24" i="21"/>
  <c r="N24" i="21"/>
  <c r="P24" i="21"/>
  <c r="O24" i="21"/>
  <c r="M24" i="21"/>
  <c r="J24" i="21"/>
  <c r="G24" i="21"/>
  <c r="B24" i="21"/>
  <c r="R23" i="21"/>
  <c r="N23" i="21"/>
  <c r="P23" i="21"/>
  <c r="O23" i="21"/>
  <c r="M23" i="21"/>
  <c r="J23" i="21"/>
  <c r="G23" i="21"/>
  <c r="B23" i="21"/>
  <c r="R22" i="21"/>
  <c r="N22" i="21"/>
  <c r="P22" i="21"/>
  <c r="O22" i="21"/>
  <c r="M22" i="21"/>
  <c r="J22" i="21"/>
  <c r="G22" i="21"/>
  <c r="B22" i="21"/>
  <c r="R21" i="21"/>
  <c r="N21" i="21"/>
  <c r="P21" i="21"/>
  <c r="O21" i="21"/>
  <c r="M21" i="21"/>
  <c r="J21" i="21"/>
  <c r="G21" i="21"/>
  <c r="B21" i="21"/>
  <c r="R20" i="21"/>
  <c r="N20" i="21"/>
  <c r="P20" i="21"/>
  <c r="O20" i="21"/>
  <c r="M20" i="21"/>
  <c r="J20" i="21"/>
  <c r="G20" i="21"/>
  <c r="B20" i="21"/>
  <c r="R19" i="21"/>
  <c r="N19" i="21"/>
  <c r="P19" i="21"/>
  <c r="O19" i="21"/>
  <c r="M19" i="21"/>
  <c r="J19" i="21"/>
  <c r="G19" i="21"/>
  <c r="B19" i="21"/>
  <c r="R18" i="21"/>
  <c r="N18" i="21"/>
  <c r="P18" i="21"/>
  <c r="O18" i="21"/>
  <c r="M18" i="21"/>
  <c r="J18" i="21"/>
  <c r="G18" i="21"/>
  <c r="B18" i="21"/>
  <c r="R17" i="21"/>
  <c r="N17" i="21"/>
  <c r="P17" i="21"/>
  <c r="O17" i="21"/>
  <c r="M17" i="21"/>
  <c r="J17" i="21"/>
  <c r="G17" i="21"/>
  <c r="B17" i="21"/>
  <c r="R16" i="21"/>
  <c r="N16" i="21"/>
  <c r="P16" i="21"/>
  <c r="O16" i="21"/>
  <c r="M16" i="21"/>
  <c r="J16" i="21"/>
  <c r="G16" i="21"/>
  <c r="B16" i="21"/>
  <c r="R15" i="21"/>
  <c r="N15" i="21"/>
  <c r="P15" i="21"/>
  <c r="O15" i="21"/>
  <c r="M15" i="21"/>
  <c r="J15" i="21"/>
  <c r="G15" i="21"/>
  <c r="B15" i="21"/>
  <c r="R14" i="21"/>
  <c r="N14" i="21"/>
  <c r="P14" i="21"/>
  <c r="O14" i="21"/>
  <c r="M14" i="21"/>
  <c r="J14" i="21"/>
  <c r="G14" i="21"/>
  <c r="B14" i="21"/>
  <c r="R13" i="21"/>
  <c r="N13" i="21"/>
  <c r="P13" i="21"/>
  <c r="O13" i="21"/>
  <c r="M13" i="21"/>
  <c r="J13" i="21"/>
  <c r="G13" i="21"/>
  <c r="B13" i="21"/>
  <c r="R12" i="21"/>
  <c r="N12" i="21"/>
  <c r="P12" i="21"/>
  <c r="O12" i="21"/>
  <c r="M12" i="21"/>
  <c r="J12" i="21"/>
  <c r="G12" i="21"/>
  <c r="B12" i="21"/>
  <c r="R11" i="21"/>
  <c r="N11" i="21"/>
  <c r="P11" i="21"/>
  <c r="O11" i="21"/>
  <c r="M11" i="21"/>
  <c r="J11" i="21"/>
  <c r="G11" i="21"/>
  <c r="B11" i="21"/>
  <c r="J10" i="21"/>
  <c r="G10" i="21"/>
  <c r="J9" i="21"/>
  <c r="G9" i="21"/>
  <c r="J8" i="21"/>
  <c r="G8" i="21"/>
  <c r="J7" i="21"/>
  <c r="G7" i="21"/>
  <c r="N8" i="20"/>
  <c r="P8" i="20"/>
  <c r="N9" i="20"/>
  <c r="P9" i="20"/>
  <c r="N10" i="20"/>
  <c r="P10" i="20"/>
  <c r="N11" i="20"/>
  <c r="P11" i="20"/>
  <c r="N12" i="20"/>
  <c r="N13" i="20"/>
  <c r="N14" i="20"/>
  <c r="N15" i="20"/>
  <c r="N16" i="20"/>
  <c r="N17" i="20"/>
  <c r="N18" i="20"/>
  <c r="N19" i="20"/>
  <c r="N20" i="20"/>
  <c r="N21" i="20"/>
  <c r="N22" i="20"/>
  <c r="N23" i="20"/>
  <c r="N24" i="20"/>
  <c r="N25" i="20"/>
  <c r="N26" i="20"/>
  <c r="N27" i="20"/>
  <c r="N28" i="20"/>
  <c r="N29" i="20"/>
  <c r="N30" i="20"/>
  <c r="N31" i="20"/>
  <c r="N32" i="20"/>
  <c r="N33" i="20"/>
  <c r="N34" i="20"/>
  <c r="N35" i="20"/>
  <c r="N36" i="20"/>
  <c r="N37" i="20"/>
  <c r="N7" i="20"/>
  <c r="P7" i="20"/>
  <c r="S37" i="20"/>
  <c r="R37" i="20"/>
  <c r="P37" i="20"/>
  <c r="O37" i="20"/>
  <c r="M37" i="20"/>
  <c r="J37" i="20"/>
  <c r="G37" i="20"/>
  <c r="B37" i="20"/>
  <c r="S36" i="20"/>
  <c r="R36" i="20"/>
  <c r="P36" i="20"/>
  <c r="O36" i="20"/>
  <c r="M36" i="20"/>
  <c r="J36" i="20"/>
  <c r="G36" i="20"/>
  <c r="B36" i="20"/>
  <c r="S35" i="20"/>
  <c r="R35" i="20"/>
  <c r="P35" i="20"/>
  <c r="O35" i="20"/>
  <c r="M35" i="20"/>
  <c r="J35" i="20"/>
  <c r="G35" i="20"/>
  <c r="B35" i="20"/>
  <c r="S34" i="20"/>
  <c r="R34" i="20"/>
  <c r="P34" i="20"/>
  <c r="O34" i="20"/>
  <c r="M34" i="20"/>
  <c r="J34" i="20"/>
  <c r="G34" i="20"/>
  <c r="B34" i="20"/>
  <c r="S33" i="20"/>
  <c r="R33" i="20"/>
  <c r="P33" i="20"/>
  <c r="O33" i="20"/>
  <c r="M33" i="20"/>
  <c r="J33" i="20"/>
  <c r="G33" i="20"/>
  <c r="B33" i="20"/>
  <c r="S32" i="20"/>
  <c r="R32" i="20"/>
  <c r="P32" i="20"/>
  <c r="O32" i="20"/>
  <c r="M32" i="20"/>
  <c r="J32" i="20"/>
  <c r="G32" i="20"/>
  <c r="B32" i="20"/>
  <c r="S31" i="20"/>
  <c r="R31" i="20"/>
  <c r="P31" i="20"/>
  <c r="O31" i="20"/>
  <c r="M31" i="20"/>
  <c r="J31" i="20"/>
  <c r="G31" i="20"/>
  <c r="B31" i="20"/>
  <c r="S30" i="20"/>
  <c r="R30" i="20"/>
  <c r="P30" i="20"/>
  <c r="O30" i="20"/>
  <c r="M30" i="20"/>
  <c r="J30" i="20"/>
  <c r="G30" i="20"/>
  <c r="B30" i="20"/>
  <c r="S29" i="20"/>
  <c r="R29" i="20"/>
  <c r="P29" i="20"/>
  <c r="O29" i="20"/>
  <c r="M29" i="20"/>
  <c r="J29" i="20"/>
  <c r="G29" i="20"/>
  <c r="B29" i="20"/>
  <c r="S28" i="20"/>
  <c r="R28" i="20"/>
  <c r="P28" i="20"/>
  <c r="O28" i="20"/>
  <c r="M28" i="20"/>
  <c r="J28" i="20"/>
  <c r="G28" i="20"/>
  <c r="B28" i="20"/>
  <c r="S27" i="20"/>
  <c r="R27" i="20"/>
  <c r="P27" i="20"/>
  <c r="O27" i="20"/>
  <c r="M27" i="20"/>
  <c r="J27" i="20"/>
  <c r="G27" i="20"/>
  <c r="B27" i="20"/>
  <c r="S26" i="20"/>
  <c r="R26" i="20"/>
  <c r="P26" i="20"/>
  <c r="O26" i="20"/>
  <c r="M26" i="20"/>
  <c r="J26" i="20"/>
  <c r="G26" i="20"/>
  <c r="B26" i="20"/>
  <c r="S25" i="20"/>
  <c r="R25" i="20"/>
  <c r="P25" i="20"/>
  <c r="O25" i="20"/>
  <c r="M25" i="20"/>
  <c r="J25" i="20"/>
  <c r="G25" i="20"/>
  <c r="B25" i="20"/>
  <c r="S24" i="20"/>
  <c r="R24" i="20"/>
  <c r="P24" i="20"/>
  <c r="O24" i="20"/>
  <c r="M24" i="20"/>
  <c r="J24" i="20"/>
  <c r="G24" i="20"/>
  <c r="B24" i="20"/>
  <c r="S23" i="20"/>
  <c r="R23" i="20"/>
  <c r="P23" i="20"/>
  <c r="O23" i="20"/>
  <c r="M23" i="20"/>
  <c r="J23" i="20"/>
  <c r="G23" i="20"/>
  <c r="B23" i="20"/>
  <c r="S22" i="20"/>
  <c r="R22" i="20"/>
  <c r="P22" i="20"/>
  <c r="O22" i="20"/>
  <c r="M22" i="20"/>
  <c r="J22" i="20"/>
  <c r="G22" i="20"/>
  <c r="B22" i="20"/>
  <c r="S21" i="20"/>
  <c r="R21" i="20"/>
  <c r="P21" i="20"/>
  <c r="O21" i="20"/>
  <c r="M21" i="20"/>
  <c r="J21" i="20"/>
  <c r="G21" i="20"/>
  <c r="B21" i="20"/>
  <c r="S20" i="20"/>
  <c r="R20" i="20"/>
  <c r="P20" i="20"/>
  <c r="O20" i="20"/>
  <c r="M20" i="20"/>
  <c r="J20" i="20"/>
  <c r="G20" i="20"/>
  <c r="B20" i="20"/>
  <c r="S19" i="20"/>
  <c r="R19" i="20"/>
  <c r="P19" i="20"/>
  <c r="O19" i="20"/>
  <c r="M19" i="20"/>
  <c r="J19" i="20"/>
  <c r="G19" i="20"/>
  <c r="B19" i="20"/>
  <c r="S18" i="20"/>
  <c r="R18" i="20"/>
  <c r="P18" i="20"/>
  <c r="O18" i="20"/>
  <c r="M18" i="20"/>
  <c r="J18" i="20"/>
  <c r="G18" i="20"/>
  <c r="B18" i="20"/>
  <c r="S17" i="20"/>
  <c r="R17" i="20"/>
  <c r="P17" i="20"/>
  <c r="O17" i="20"/>
  <c r="M17" i="20"/>
  <c r="J17" i="20"/>
  <c r="G17" i="20"/>
  <c r="B17" i="20"/>
  <c r="S16" i="20"/>
  <c r="R16" i="20"/>
  <c r="P16" i="20"/>
  <c r="O16" i="20"/>
  <c r="M16" i="20"/>
  <c r="J16" i="20"/>
  <c r="G16" i="20"/>
  <c r="B16" i="20"/>
  <c r="S15" i="20"/>
  <c r="R15" i="20"/>
  <c r="P15" i="20"/>
  <c r="O15" i="20"/>
  <c r="M15" i="20"/>
  <c r="J15" i="20"/>
  <c r="G15" i="20"/>
  <c r="B15" i="20"/>
  <c r="S14" i="20"/>
  <c r="R14" i="20"/>
  <c r="P14" i="20"/>
  <c r="O14" i="20"/>
  <c r="M14" i="20"/>
  <c r="J14" i="20"/>
  <c r="G14" i="20"/>
  <c r="B14" i="20"/>
  <c r="S13" i="20"/>
  <c r="R13" i="20"/>
  <c r="P13" i="20"/>
  <c r="O13" i="20"/>
  <c r="M13" i="20"/>
  <c r="J13" i="20"/>
  <c r="G13" i="20"/>
  <c r="B13" i="20"/>
  <c r="S12" i="20"/>
  <c r="R12" i="20"/>
  <c r="P12" i="20"/>
  <c r="O12" i="20"/>
  <c r="M12" i="20"/>
  <c r="J12" i="20"/>
  <c r="G12" i="20"/>
  <c r="B12" i="20"/>
  <c r="S11" i="20"/>
  <c r="R11" i="20"/>
  <c r="O11" i="20"/>
  <c r="M11" i="20"/>
  <c r="J11" i="20"/>
  <c r="G11" i="20"/>
  <c r="B11" i="20"/>
  <c r="M10" i="20"/>
  <c r="R10" i="20"/>
  <c r="J10" i="20"/>
  <c r="G10" i="20"/>
  <c r="B10" i="20"/>
  <c r="S10" i="20"/>
  <c r="B9" i="20"/>
  <c r="S9" i="20"/>
  <c r="M9" i="20"/>
  <c r="O9" i="20"/>
  <c r="R9" i="20"/>
  <c r="J9" i="20"/>
  <c r="G9" i="20"/>
  <c r="O8" i="20"/>
  <c r="R8" i="20"/>
  <c r="M8" i="20"/>
  <c r="J8" i="20"/>
  <c r="G8" i="20"/>
  <c r="B8" i="20"/>
  <c r="S8" i="20"/>
  <c r="B7" i="20"/>
  <c r="S7" i="20"/>
  <c r="M7" i="20"/>
  <c r="O7" i="20"/>
  <c r="R7" i="20"/>
  <c r="J7" i="20"/>
  <c r="G7" i="20"/>
  <c r="N8" i="19"/>
  <c r="P8" i="19"/>
  <c r="N9" i="19"/>
  <c r="P9" i="19"/>
  <c r="N10" i="19"/>
  <c r="N11" i="19"/>
  <c r="P11" i="19"/>
  <c r="N12" i="19"/>
  <c r="P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7" i="19"/>
  <c r="S37" i="19"/>
  <c r="R37" i="19"/>
  <c r="P37" i="19"/>
  <c r="O37" i="19"/>
  <c r="M37" i="19"/>
  <c r="J37" i="19"/>
  <c r="G37" i="19"/>
  <c r="B37" i="19"/>
  <c r="S36" i="19"/>
  <c r="R36" i="19"/>
  <c r="P36" i="19"/>
  <c r="O36" i="19"/>
  <c r="M36" i="19"/>
  <c r="J36" i="19"/>
  <c r="G36" i="19"/>
  <c r="B36" i="19"/>
  <c r="S35" i="19"/>
  <c r="R35" i="19"/>
  <c r="P35" i="19"/>
  <c r="O35" i="19"/>
  <c r="M35" i="19"/>
  <c r="J35" i="19"/>
  <c r="G35" i="19"/>
  <c r="B35" i="19"/>
  <c r="S34" i="19"/>
  <c r="R34" i="19"/>
  <c r="P34" i="19"/>
  <c r="O34" i="19"/>
  <c r="M34" i="19"/>
  <c r="J34" i="19"/>
  <c r="G34" i="19"/>
  <c r="B34" i="19"/>
  <c r="S33" i="19"/>
  <c r="R33" i="19"/>
  <c r="P33" i="19"/>
  <c r="O33" i="19"/>
  <c r="M33" i="19"/>
  <c r="J33" i="19"/>
  <c r="G33" i="19"/>
  <c r="B33" i="19"/>
  <c r="S32" i="19"/>
  <c r="R32" i="19"/>
  <c r="P32" i="19"/>
  <c r="O32" i="19"/>
  <c r="M32" i="19"/>
  <c r="J32" i="19"/>
  <c r="G32" i="19"/>
  <c r="B32" i="19"/>
  <c r="S31" i="19"/>
  <c r="R31" i="19"/>
  <c r="P31" i="19"/>
  <c r="O31" i="19"/>
  <c r="M31" i="19"/>
  <c r="J31" i="19"/>
  <c r="G31" i="19"/>
  <c r="B31" i="19"/>
  <c r="S30" i="19"/>
  <c r="R30" i="19"/>
  <c r="P30" i="19"/>
  <c r="O30" i="19"/>
  <c r="M30" i="19"/>
  <c r="J30" i="19"/>
  <c r="G30" i="19"/>
  <c r="B30" i="19"/>
  <c r="S29" i="19"/>
  <c r="R29" i="19"/>
  <c r="P29" i="19"/>
  <c r="O29" i="19"/>
  <c r="M29" i="19"/>
  <c r="J29" i="19"/>
  <c r="G29" i="19"/>
  <c r="B29" i="19"/>
  <c r="S28" i="19"/>
  <c r="R28" i="19"/>
  <c r="P28" i="19"/>
  <c r="O28" i="19"/>
  <c r="M28" i="19"/>
  <c r="J28" i="19"/>
  <c r="G28" i="19"/>
  <c r="B28" i="19"/>
  <c r="S27" i="19"/>
  <c r="R27" i="19"/>
  <c r="P27" i="19"/>
  <c r="O27" i="19"/>
  <c r="M27" i="19"/>
  <c r="J27" i="19"/>
  <c r="G27" i="19"/>
  <c r="B27" i="19"/>
  <c r="S26" i="19"/>
  <c r="R26" i="19"/>
  <c r="P26" i="19"/>
  <c r="O26" i="19"/>
  <c r="M26" i="19"/>
  <c r="J26" i="19"/>
  <c r="G26" i="19"/>
  <c r="B26" i="19"/>
  <c r="S25" i="19"/>
  <c r="R25" i="19"/>
  <c r="P25" i="19"/>
  <c r="O25" i="19"/>
  <c r="M25" i="19"/>
  <c r="J25" i="19"/>
  <c r="G25" i="19"/>
  <c r="B25" i="19"/>
  <c r="S24" i="19"/>
  <c r="R24" i="19"/>
  <c r="P24" i="19"/>
  <c r="O24" i="19"/>
  <c r="M24" i="19"/>
  <c r="J24" i="19"/>
  <c r="G24" i="19"/>
  <c r="B24" i="19"/>
  <c r="S23" i="19"/>
  <c r="R23" i="19"/>
  <c r="P23" i="19"/>
  <c r="O23" i="19"/>
  <c r="M23" i="19"/>
  <c r="J23" i="19"/>
  <c r="G23" i="19"/>
  <c r="B23" i="19"/>
  <c r="S22" i="19"/>
  <c r="R22" i="19"/>
  <c r="P22" i="19"/>
  <c r="O22" i="19"/>
  <c r="M22" i="19"/>
  <c r="J22" i="19"/>
  <c r="G22" i="19"/>
  <c r="B22" i="19"/>
  <c r="S21" i="19"/>
  <c r="R21" i="19"/>
  <c r="P21" i="19"/>
  <c r="O21" i="19"/>
  <c r="M21" i="19"/>
  <c r="J21" i="19"/>
  <c r="G21" i="19"/>
  <c r="B21" i="19"/>
  <c r="S20" i="19"/>
  <c r="R20" i="19"/>
  <c r="P20" i="19"/>
  <c r="O20" i="19"/>
  <c r="M20" i="19"/>
  <c r="J20" i="19"/>
  <c r="G20" i="19"/>
  <c r="B20" i="19"/>
  <c r="S19" i="19"/>
  <c r="R19" i="19"/>
  <c r="P19" i="19"/>
  <c r="O19" i="19"/>
  <c r="M19" i="19"/>
  <c r="J19" i="19"/>
  <c r="G19" i="19"/>
  <c r="B19" i="19"/>
  <c r="S18" i="19"/>
  <c r="R18" i="19"/>
  <c r="P18" i="19"/>
  <c r="O18" i="19"/>
  <c r="M18" i="19"/>
  <c r="J18" i="19"/>
  <c r="G18" i="19"/>
  <c r="B18" i="19"/>
  <c r="S17" i="19"/>
  <c r="R17" i="19"/>
  <c r="P17" i="19"/>
  <c r="O17" i="19"/>
  <c r="M17" i="19"/>
  <c r="J17" i="19"/>
  <c r="G17" i="19"/>
  <c r="B17" i="19"/>
  <c r="S16" i="19"/>
  <c r="R16" i="19"/>
  <c r="P16" i="19"/>
  <c r="O16" i="19"/>
  <c r="M16" i="19"/>
  <c r="J16" i="19"/>
  <c r="G16" i="19"/>
  <c r="B16" i="19"/>
  <c r="S15" i="19"/>
  <c r="R15" i="19"/>
  <c r="P15" i="19"/>
  <c r="O15" i="19"/>
  <c r="M15" i="19"/>
  <c r="J15" i="19"/>
  <c r="G15" i="19"/>
  <c r="B15" i="19"/>
  <c r="S14" i="19"/>
  <c r="R14" i="19"/>
  <c r="P14" i="19"/>
  <c r="O14" i="19"/>
  <c r="M14" i="19"/>
  <c r="J14" i="19"/>
  <c r="G14" i="19"/>
  <c r="B14" i="19"/>
  <c r="S13" i="19"/>
  <c r="R13" i="19"/>
  <c r="P13" i="19"/>
  <c r="O13" i="19"/>
  <c r="M13" i="19"/>
  <c r="J13" i="19"/>
  <c r="G13" i="19"/>
  <c r="B13" i="19"/>
  <c r="S12" i="19"/>
  <c r="R12" i="19"/>
  <c r="O12" i="19"/>
  <c r="M12" i="19"/>
  <c r="J12" i="19"/>
  <c r="G12" i="19"/>
  <c r="B12" i="19"/>
  <c r="R11" i="19"/>
  <c r="O11" i="19"/>
  <c r="M11" i="19"/>
  <c r="J11" i="19"/>
  <c r="G11" i="19"/>
  <c r="B11" i="19"/>
  <c r="S11" i="19"/>
  <c r="M10" i="19"/>
  <c r="O10" i="19"/>
  <c r="P10" i="19"/>
  <c r="R10" i="19"/>
  <c r="J10" i="19"/>
  <c r="G10" i="19"/>
  <c r="B10" i="19"/>
  <c r="S10" i="19"/>
  <c r="B9" i="19"/>
  <c r="M9" i="19"/>
  <c r="O9" i="19"/>
  <c r="R9" i="19"/>
  <c r="S9" i="19"/>
  <c r="J9" i="19"/>
  <c r="G9" i="19"/>
  <c r="O8" i="19"/>
  <c r="R8" i="19"/>
  <c r="M8" i="19"/>
  <c r="J8" i="19"/>
  <c r="G8" i="19"/>
  <c r="B8" i="19"/>
  <c r="S8" i="19"/>
  <c r="B7" i="19"/>
  <c r="M7" i="19"/>
  <c r="O7" i="19"/>
  <c r="P7" i="19"/>
  <c r="R7" i="19"/>
  <c r="S7" i="19"/>
  <c r="J7" i="19"/>
  <c r="G7" i="19"/>
  <c r="R11" i="4"/>
  <c r="R12" i="4"/>
  <c r="R13" i="4"/>
  <c r="R14" i="4"/>
  <c r="R15" i="4"/>
  <c r="R16" i="4"/>
  <c r="R17" i="4"/>
  <c r="R18" i="4"/>
  <c r="R19" i="4"/>
  <c r="R20" i="4"/>
  <c r="R21" i="4"/>
  <c r="R22" i="4"/>
  <c r="R23" i="4"/>
  <c r="R24" i="4"/>
  <c r="R25" i="4"/>
  <c r="R26" i="4"/>
  <c r="R27" i="4"/>
  <c r="R28" i="4"/>
  <c r="R29" i="4"/>
  <c r="R30" i="4"/>
  <c r="R31" i="4"/>
  <c r="R32" i="4"/>
  <c r="R33" i="4"/>
  <c r="R34" i="4"/>
  <c r="R35" i="4"/>
  <c r="R36" i="4"/>
  <c r="R37" i="4"/>
  <c r="N11" i="4"/>
  <c r="N12" i="4"/>
  <c r="N13" i="4"/>
  <c r="N14" i="4"/>
  <c r="N15" i="4"/>
  <c r="N16" i="4"/>
  <c r="N17" i="4"/>
  <c r="N18" i="4"/>
  <c r="N19" i="4"/>
  <c r="N20" i="4"/>
  <c r="N21" i="4"/>
  <c r="N22" i="4"/>
  <c r="N23" i="4"/>
  <c r="N24" i="4"/>
  <c r="N25" i="4"/>
  <c r="N26" i="4"/>
  <c r="N27" i="4"/>
  <c r="N28" i="4"/>
  <c r="N29" i="4"/>
  <c r="N30" i="4"/>
  <c r="N31" i="4"/>
  <c r="N32" i="4"/>
  <c r="N33" i="4"/>
  <c r="N34" i="4"/>
  <c r="N35" i="4"/>
  <c r="N36" i="4"/>
  <c r="N37" i="4"/>
  <c r="P11" i="4"/>
  <c r="P12" i="4"/>
  <c r="P13" i="4"/>
  <c r="P14" i="4"/>
  <c r="P15" i="4"/>
  <c r="P16" i="4"/>
  <c r="P17" i="4"/>
  <c r="P18" i="4"/>
  <c r="P19" i="4"/>
  <c r="P20" i="4"/>
  <c r="P21" i="4"/>
  <c r="P22" i="4"/>
  <c r="P23" i="4"/>
  <c r="P24" i="4"/>
  <c r="P25" i="4"/>
  <c r="P26" i="4"/>
  <c r="P27" i="4"/>
  <c r="P28" i="4"/>
  <c r="P29" i="4"/>
  <c r="P30" i="4"/>
  <c r="P31" i="4"/>
  <c r="P32" i="4"/>
  <c r="P33" i="4"/>
  <c r="P34" i="4"/>
  <c r="P35" i="4"/>
  <c r="P36" i="4"/>
  <c r="P37" i="4"/>
  <c r="O11" i="4"/>
  <c r="O12" i="4"/>
  <c r="O13" i="4"/>
  <c r="O14" i="4"/>
  <c r="O15" i="4"/>
  <c r="O16" i="4"/>
  <c r="O17" i="4"/>
  <c r="O18" i="4"/>
  <c r="O19" i="4"/>
  <c r="O20" i="4"/>
  <c r="O21" i="4"/>
  <c r="O22" i="4"/>
  <c r="O23" i="4"/>
  <c r="O24" i="4"/>
  <c r="O25" i="4"/>
  <c r="O26" i="4"/>
  <c r="O27" i="4"/>
  <c r="O28" i="4"/>
  <c r="O29" i="4"/>
  <c r="O30" i="4"/>
  <c r="O31" i="4"/>
  <c r="O32" i="4"/>
  <c r="O33" i="4"/>
  <c r="O34" i="4"/>
  <c r="O35" i="4"/>
  <c r="O36" i="4"/>
  <c r="O37" i="4"/>
  <c r="M11" i="4"/>
  <c r="M12" i="4"/>
  <c r="M13" i="4"/>
  <c r="M14" i="4"/>
  <c r="M15" i="4"/>
  <c r="M16" i="4"/>
  <c r="M17" i="4"/>
  <c r="M18" i="4"/>
  <c r="M19" i="4"/>
  <c r="M20" i="4"/>
  <c r="M21" i="4"/>
  <c r="M22" i="4"/>
  <c r="M23" i="4"/>
  <c r="M24" i="4"/>
  <c r="M25" i="4"/>
  <c r="M26" i="4"/>
  <c r="M27" i="4"/>
  <c r="M28" i="4"/>
  <c r="M29" i="4"/>
  <c r="M30" i="4"/>
  <c r="M31" i="4"/>
  <c r="M32" i="4"/>
  <c r="M33" i="4"/>
  <c r="M34" i="4"/>
  <c r="M35" i="4"/>
  <c r="M36" i="4"/>
  <c r="M37"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7" i="4"/>
  <c r="D9" i="14"/>
  <c r="K10" i="12"/>
  <c r="K11" i="12"/>
  <c r="K12" i="12"/>
  <c r="K13" i="12"/>
  <c r="K14" i="12"/>
  <c r="K15" i="12"/>
  <c r="K16" i="12"/>
  <c r="K17" i="12"/>
  <c r="K18" i="12"/>
  <c r="K19" i="12"/>
  <c r="K20" i="12"/>
  <c r="K21" i="12"/>
  <c r="K22" i="12"/>
  <c r="K23" i="12"/>
  <c r="K24" i="12"/>
  <c r="K25" i="12"/>
  <c r="K26" i="12"/>
  <c r="K27" i="12"/>
  <c r="K28" i="12"/>
  <c r="K29" i="12"/>
  <c r="K30" i="12"/>
  <c r="K31" i="12"/>
  <c r="K32" i="12"/>
  <c r="K33" i="12"/>
  <c r="K9" i="12"/>
  <c r="C7" i="15"/>
  <c r="C8" i="15"/>
  <c r="C9" i="15"/>
  <c r="C10" i="15"/>
  <c r="C11" i="15"/>
  <c r="C12" i="15"/>
  <c r="C13" i="15"/>
  <c r="C14" i="15"/>
  <c r="C15" i="15"/>
  <c r="C16" i="15"/>
  <c r="C17" i="15"/>
  <c r="C18" i="15"/>
  <c r="C19" i="15"/>
  <c r="C20" i="15"/>
  <c r="C6" i="15"/>
  <c r="D6" i="15"/>
  <c r="E6" i="15"/>
  <c r="B7" i="2"/>
  <c r="E8" i="1"/>
  <c r="D8" i="2"/>
  <c r="E9" i="1"/>
  <c r="D17"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H7" i="2"/>
  <c r="E7" i="15"/>
  <c r="B8" i="2"/>
  <c r="J8" i="16"/>
  <c r="J9" i="16"/>
  <c r="J10" i="16"/>
  <c r="J11"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59" i="16"/>
  <c r="J60" i="16"/>
  <c r="J61" i="16"/>
  <c r="J62" i="16"/>
  <c r="J63" i="16"/>
  <c r="J64" i="16"/>
  <c r="J65" i="16"/>
  <c r="J66" i="16"/>
  <c r="J67" i="16"/>
  <c r="J68" i="16"/>
  <c r="J69" i="16"/>
  <c r="J70" i="16"/>
  <c r="J71" i="16"/>
  <c r="J72" i="16"/>
  <c r="J73" i="16"/>
  <c r="J74" i="16"/>
  <c r="J75" i="16"/>
  <c r="J76" i="16"/>
  <c r="J77" i="16"/>
  <c r="J78" i="16"/>
  <c r="J79" i="16"/>
  <c r="J80" i="16"/>
  <c r="J81" i="16"/>
  <c r="J82" i="16"/>
  <c r="J83" i="16"/>
  <c r="J84" i="16"/>
  <c r="J85" i="16"/>
  <c r="J86" i="16"/>
  <c r="J87" i="16"/>
  <c r="J88" i="16"/>
  <c r="J89" i="16"/>
  <c r="J90" i="16"/>
  <c r="J91" i="16"/>
  <c r="J92" i="16"/>
  <c r="J93" i="16"/>
  <c r="J94" i="16"/>
  <c r="J95" i="16"/>
  <c r="J96" i="16"/>
  <c r="J97" i="16"/>
  <c r="J98" i="16"/>
  <c r="J99" i="16"/>
  <c r="J100" i="16"/>
  <c r="J101" i="16"/>
  <c r="J102" i="16"/>
  <c r="J103" i="16"/>
  <c r="J104" i="16"/>
  <c r="J105" i="16"/>
  <c r="J106" i="16"/>
  <c r="J107" i="16"/>
  <c r="J108" i="16"/>
  <c r="C8" i="2"/>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E8" i="2"/>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H8" i="2"/>
  <c r="E8" i="15"/>
  <c r="B9" i="2"/>
  <c r="D9" i="2"/>
  <c r="C9" i="2"/>
  <c r="E9" i="2"/>
  <c r="H9" i="2"/>
  <c r="E9" i="15"/>
  <c r="B10" i="2"/>
  <c r="D10" i="2"/>
  <c r="C10" i="2"/>
  <c r="E10" i="2"/>
  <c r="H10" i="2"/>
  <c r="E10" i="15"/>
  <c r="B11" i="2"/>
  <c r="C11" i="2"/>
  <c r="E11" i="15"/>
  <c r="B12" i="2"/>
  <c r="D12" i="2"/>
  <c r="C12" i="2"/>
  <c r="E12" i="2"/>
  <c r="H12" i="2"/>
  <c r="E12" i="15"/>
  <c r="B13" i="2"/>
  <c r="C13" i="2"/>
  <c r="E13" i="15"/>
  <c r="B14" i="2"/>
  <c r="C14" i="2"/>
  <c r="E14" i="2"/>
  <c r="E14" i="15"/>
  <c r="B15" i="2"/>
  <c r="C15" i="2"/>
  <c r="E15" i="2"/>
  <c r="E15" i="15"/>
  <c r="B16" i="2"/>
  <c r="D16" i="2"/>
  <c r="C16" i="2"/>
  <c r="E16" i="2"/>
  <c r="H16" i="2"/>
  <c r="C17" i="2"/>
  <c r="E16" i="15"/>
  <c r="B17" i="2"/>
  <c r="E17" i="2"/>
  <c r="H17" i="2"/>
  <c r="C18" i="2"/>
  <c r="E17" i="15"/>
  <c r="B18" i="2"/>
  <c r="E18" i="2"/>
  <c r="H18" i="2"/>
  <c r="E18" i="15"/>
  <c r="B19" i="2"/>
  <c r="E19" i="2"/>
  <c r="H19" i="2"/>
  <c r="C20" i="2"/>
  <c r="E19" i="15"/>
  <c r="B20" i="2"/>
  <c r="E20" i="2"/>
  <c r="H20" i="2"/>
  <c r="E20" i="15"/>
  <c r="B21" i="2"/>
  <c r="C13" i="14"/>
  <c r="E5" i="15"/>
  <c r="F5" i="15"/>
  <c r="B6" i="2"/>
  <c r="J6" i="16"/>
  <c r="C6" i="2"/>
  <c r="H5" i="5"/>
  <c r="I5" i="5"/>
  <c r="E6" i="2"/>
  <c r="G5" i="8"/>
  <c r="H6" i="2"/>
  <c r="C11" i="14"/>
  <c r="C1" i="2"/>
  <c r="D7" i="15"/>
  <c r="D8" i="15"/>
  <c r="D9" i="15"/>
  <c r="B11" i="4"/>
  <c r="B8" i="1"/>
  <c r="G8" i="1"/>
  <c r="H8" i="1"/>
  <c r="J8" i="1"/>
  <c r="K8" i="1"/>
  <c r="M8" i="1"/>
  <c r="N8" i="1"/>
  <c r="N7" i="1"/>
  <c r="P8" i="1"/>
  <c r="Q8" i="1"/>
  <c r="B9" i="1"/>
  <c r="G9" i="1"/>
  <c r="H9" i="1"/>
  <c r="J9" i="1"/>
  <c r="K9" i="1"/>
  <c r="K7" i="1"/>
  <c r="M9" i="1"/>
  <c r="N9" i="1"/>
  <c r="P9" i="1"/>
  <c r="Q9" i="1"/>
  <c r="Q7" i="1"/>
  <c r="F108" i="16"/>
  <c r="F107" i="16"/>
  <c r="F106" i="16"/>
  <c r="F105" i="16"/>
  <c r="F104" i="16"/>
  <c r="F103" i="16"/>
  <c r="F102" i="16"/>
  <c r="F101" i="16"/>
  <c r="F100" i="16"/>
  <c r="F99" i="16"/>
  <c r="F98" i="16"/>
  <c r="F97" i="16"/>
  <c r="F96" i="16"/>
  <c r="F95" i="16"/>
  <c r="F94" i="16"/>
  <c r="F93" i="16"/>
  <c r="F92" i="16"/>
  <c r="F91" i="16"/>
  <c r="F90" i="16"/>
  <c r="F89" i="16"/>
  <c r="F88" i="16"/>
  <c r="F87" i="16"/>
  <c r="F86" i="16"/>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2" i="16"/>
  <c r="F11" i="16"/>
  <c r="F10" i="16"/>
  <c r="F9" i="16"/>
  <c r="F8" i="16"/>
  <c r="F7" i="16"/>
  <c r="D10" i="15"/>
  <c r="D11" i="15"/>
  <c r="D12" i="15"/>
  <c r="D13" i="15"/>
  <c r="D14" i="15"/>
  <c r="D15" i="15"/>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8" i="1"/>
  <c r="B13" i="1"/>
  <c r="G13" i="1"/>
  <c r="H13" i="1"/>
  <c r="J13" i="1"/>
  <c r="K13" i="1"/>
  <c r="M13" i="1"/>
  <c r="N13" i="1"/>
  <c r="P13" i="1"/>
  <c r="Q13" i="1"/>
  <c r="B10" i="1"/>
  <c r="G10" i="1"/>
  <c r="H10" i="1"/>
  <c r="H7" i="1"/>
  <c r="J10" i="1"/>
  <c r="K10" i="1"/>
  <c r="M10" i="1"/>
  <c r="N10" i="1"/>
  <c r="P10" i="1"/>
  <c r="Q10" i="1"/>
  <c r="B11" i="1"/>
  <c r="G11" i="1"/>
  <c r="H11" i="1"/>
  <c r="J11" i="1"/>
  <c r="K11" i="1"/>
  <c r="M11" i="1"/>
  <c r="N11" i="1"/>
  <c r="P11" i="1"/>
  <c r="Q11" i="1"/>
  <c r="B12" i="1"/>
  <c r="G12" i="1"/>
  <c r="H12" i="1"/>
  <c r="J12" i="1"/>
  <c r="K12" i="1"/>
  <c r="M12" i="1"/>
  <c r="N12" i="1"/>
  <c r="P12" i="1"/>
  <c r="Q12" i="1"/>
  <c r="B14" i="1"/>
  <c r="G14" i="1"/>
  <c r="H14" i="1"/>
  <c r="J14" i="1"/>
  <c r="K14" i="1"/>
  <c r="M14" i="1"/>
  <c r="N14" i="1"/>
  <c r="P14" i="1"/>
  <c r="Q14" i="1"/>
  <c r="H15" i="1"/>
  <c r="K15" i="1"/>
  <c r="N15" i="1"/>
  <c r="Q15" i="1"/>
  <c r="H16" i="1"/>
  <c r="K16" i="1"/>
  <c r="N16" i="1"/>
  <c r="Q16" i="1"/>
  <c r="H17" i="1"/>
  <c r="K17" i="1"/>
  <c r="N17" i="1"/>
  <c r="Q17" i="1"/>
  <c r="H18" i="1"/>
  <c r="K18" i="1"/>
  <c r="N18" i="1"/>
  <c r="Q18" i="1"/>
  <c r="H19" i="1"/>
  <c r="K19" i="1"/>
  <c r="N19" i="1"/>
  <c r="Q19" i="1"/>
  <c r="H20" i="1"/>
  <c r="K20" i="1"/>
  <c r="N20" i="1"/>
  <c r="Q20" i="1"/>
  <c r="H21" i="1"/>
  <c r="K21" i="1"/>
  <c r="N21" i="1"/>
  <c r="Q21" i="1"/>
  <c r="H22" i="1"/>
  <c r="K22" i="1"/>
  <c r="N22" i="1"/>
  <c r="Q22" i="1"/>
  <c r="H23" i="1"/>
  <c r="K23" i="1"/>
  <c r="N23" i="1"/>
  <c r="Q23" i="1"/>
  <c r="H24" i="1"/>
  <c r="K24" i="1"/>
  <c r="N24" i="1"/>
  <c r="Q24" i="1"/>
  <c r="H25" i="1"/>
  <c r="K25" i="1"/>
  <c r="N25" i="1"/>
  <c r="Q25" i="1"/>
  <c r="H26" i="1"/>
  <c r="K26" i="1"/>
  <c r="N26" i="1"/>
  <c r="Q26" i="1"/>
  <c r="H27" i="1"/>
  <c r="K27" i="1"/>
  <c r="N27" i="1"/>
  <c r="Q27" i="1"/>
  <c r="H28" i="1"/>
  <c r="K28" i="1"/>
  <c r="N28" i="1"/>
  <c r="Q28" i="1"/>
  <c r="H29" i="1"/>
  <c r="K29" i="1"/>
  <c r="N29" i="1"/>
  <c r="Q29" i="1"/>
  <c r="H30" i="1"/>
  <c r="K30" i="1"/>
  <c r="N30" i="1"/>
  <c r="Q30" i="1"/>
  <c r="H31" i="1"/>
  <c r="K31" i="1"/>
  <c r="N31" i="1"/>
  <c r="Q31" i="1"/>
  <c r="H32" i="1"/>
  <c r="K32" i="1"/>
  <c r="N32" i="1"/>
  <c r="Q32" i="1"/>
  <c r="H33" i="1"/>
  <c r="K33" i="1"/>
  <c r="N33" i="1"/>
  <c r="Q33" i="1"/>
  <c r="H34" i="1"/>
  <c r="K34" i="1"/>
  <c r="N34" i="1"/>
  <c r="Q34" i="1"/>
  <c r="H35" i="1"/>
  <c r="K35" i="1"/>
  <c r="N35" i="1"/>
  <c r="Q35" i="1"/>
  <c r="H36" i="1"/>
  <c r="K36" i="1"/>
  <c r="N36" i="1"/>
  <c r="Q36" i="1"/>
  <c r="H37" i="1"/>
  <c r="K37" i="1"/>
  <c r="N37" i="1"/>
  <c r="Q37" i="1"/>
  <c r="H38" i="1"/>
  <c r="K38" i="1"/>
  <c r="N38" i="1"/>
  <c r="Q38" i="1"/>
  <c r="H39" i="1"/>
  <c r="K39" i="1"/>
  <c r="N39" i="1"/>
  <c r="Q39" i="1"/>
  <c r="H40" i="1"/>
  <c r="K40" i="1"/>
  <c r="N40" i="1"/>
  <c r="Q40" i="1"/>
  <c r="H41" i="1"/>
  <c r="K41" i="1"/>
  <c r="N41" i="1"/>
  <c r="Q41" i="1"/>
  <c r="H42" i="1"/>
  <c r="K42" i="1"/>
  <c r="N42" i="1"/>
  <c r="Q42" i="1"/>
  <c r="H43" i="1"/>
  <c r="K43" i="1"/>
  <c r="N43" i="1"/>
  <c r="Q43" i="1"/>
  <c r="H44" i="1"/>
  <c r="K44" i="1"/>
  <c r="N44" i="1"/>
  <c r="Q44" i="1"/>
  <c r="H45" i="1"/>
  <c r="K45" i="1"/>
  <c r="N45" i="1"/>
  <c r="Q45" i="1"/>
  <c r="H46" i="1"/>
  <c r="K46" i="1"/>
  <c r="N46" i="1"/>
  <c r="Q46" i="1"/>
  <c r="H47" i="1"/>
  <c r="K47" i="1"/>
  <c r="N47" i="1"/>
  <c r="Q47" i="1"/>
  <c r="H48" i="1"/>
  <c r="K48" i="1"/>
  <c r="N48" i="1"/>
  <c r="Q48" i="1"/>
  <c r="H49" i="1"/>
  <c r="K49" i="1"/>
  <c r="N49" i="1"/>
  <c r="Q49" i="1"/>
  <c r="H50" i="1"/>
  <c r="K50" i="1"/>
  <c r="N50" i="1"/>
  <c r="Q50" i="1"/>
  <c r="H51" i="1"/>
  <c r="K51" i="1"/>
  <c r="N51" i="1"/>
  <c r="Q51" i="1"/>
  <c r="H52" i="1"/>
  <c r="K52" i="1"/>
  <c r="N52" i="1"/>
  <c r="Q52" i="1"/>
  <c r="H53" i="1"/>
  <c r="K53" i="1"/>
  <c r="N53" i="1"/>
  <c r="Q53" i="1"/>
  <c r="H54" i="1"/>
  <c r="K54" i="1"/>
  <c r="N54" i="1"/>
  <c r="Q54" i="1"/>
  <c r="H55" i="1"/>
  <c r="K55" i="1"/>
  <c r="N55" i="1"/>
  <c r="Q55" i="1"/>
  <c r="H56" i="1"/>
  <c r="K56" i="1"/>
  <c r="N56" i="1"/>
  <c r="Q56" i="1"/>
  <c r="H57" i="1"/>
  <c r="K57" i="1"/>
  <c r="N57" i="1"/>
  <c r="Q57" i="1"/>
  <c r="H58" i="1"/>
  <c r="K58" i="1"/>
  <c r="N58" i="1"/>
  <c r="Q58" i="1"/>
  <c r="H59" i="1"/>
  <c r="K59" i="1"/>
  <c r="N59" i="1"/>
  <c r="Q59" i="1"/>
  <c r="H60" i="1"/>
  <c r="K60" i="1"/>
  <c r="N60" i="1"/>
  <c r="Q60" i="1"/>
  <c r="H61" i="1"/>
  <c r="K61" i="1"/>
  <c r="N61" i="1"/>
  <c r="Q61" i="1"/>
  <c r="H62" i="1"/>
  <c r="K62" i="1"/>
  <c r="N62" i="1"/>
  <c r="Q62" i="1"/>
  <c r="H63" i="1"/>
  <c r="K63" i="1"/>
  <c r="N63" i="1"/>
  <c r="Q63" i="1"/>
  <c r="H64" i="1"/>
  <c r="K64" i="1"/>
  <c r="N64" i="1"/>
  <c r="Q64" i="1"/>
  <c r="H65" i="1"/>
  <c r="K65" i="1"/>
  <c r="N65" i="1"/>
  <c r="Q65" i="1"/>
  <c r="H66" i="1"/>
  <c r="K66" i="1"/>
  <c r="N66" i="1"/>
  <c r="Q66" i="1"/>
  <c r="H67" i="1"/>
  <c r="K67" i="1"/>
  <c r="N67" i="1"/>
  <c r="Q67" i="1"/>
  <c r="H68" i="1"/>
  <c r="K68" i="1"/>
  <c r="N68" i="1"/>
  <c r="Q68" i="1"/>
  <c r="H69" i="1"/>
  <c r="K69" i="1"/>
  <c r="N69" i="1"/>
  <c r="Q69" i="1"/>
  <c r="H70" i="1"/>
  <c r="K70" i="1"/>
  <c r="N70" i="1"/>
  <c r="Q70" i="1"/>
  <c r="H71" i="1"/>
  <c r="K71" i="1"/>
  <c r="N71" i="1"/>
  <c r="Q71" i="1"/>
  <c r="H72" i="1"/>
  <c r="K72" i="1"/>
  <c r="N72" i="1"/>
  <c r="Q72" i="1"/>
  <c r="H73" i="1"/>
  <c r="K73" i="1"/>
  <c r="N73" i="1"/>
  <c r="Q73" i="1"/>
  <c r="H74" i="1"/>
  <c r="K74" i="1"/>
  <c r="N74" i="1"/>
  <c r="Q74" i="1"/>
  <c r="H75" i="1"/>
  <c r="K75" i="1"/>
  <c r="N75" i="1"/>
  <c r="Q75" i="1"/>
  <c r="H76" i="1"/>
  <c r="K76" i="1"/>
  <c r="N76" i="1"/>
  <c r="Q76" i="1"/>
  <c r="H77" i="1"/>
  <c r="K77" i="1"/>
  <c r="N77" i="1"/>
  <c r="Q77" i="1"/>
  <c r="H78" i="1"/>
  <c r="K78" i="1"/>
  <c r="N78" i="1"/>
  <c r="Q78" i="1"/>
  <c r="H79" i="1"/>
  <c r="K79" i="1"/>
  <c r="N79" i="1"/>
  <c r="Q79" i="1"/>
  <c r="H80" i="1"/>
  <c r="K80" i="1"/>
  <c r="N80" i="1"/>
  <c r="Q80" i="1"/>
  <c r="H81" i="1"/>
  <c r="K81" i="1"/>
  <c r="N81" i="1"/>
  <c r="Q81" i="1"/>
  <c r="H82" i="1"/>
  <c r="K82" i="1"/>
  <c r="N82" i="1"/>
  <c r="Q82" i="1"/>
  <c r="H83" i="1"/>
  <c r="K83" i="1"/>
  <c r="N83" i="1"/>
  <c r="Q83" i="1"/>
  <c r="H84" i="1"/>
  <c r="K84" i="1"/>
  <c r="N84" i="1"/>
  <c r="Q84" i="1"/>
  <c r="H85" i="1"/>
  <c r="K85" i="1"/>
  <c r="N85" i="1"/>
  <c r="Q85" i="1"/>
  <c r="H86" i="1"/>
  <c r="K86" i="1"/>
  <c r="N86" i="1"/>
  <c r="Q86" i="1"/>
  <c r="H87" i="1"/>
  <c r="K87" i="1"/>
  <c r="N87" i="1"/>
  <c r="Q87" i="1"/>
  <c r="H88" i="1"/>
  <c r="K88" i="1"/>
  <c r="N88" i="1"/>
  <c r="Q88" i="1"/>
  <c r="H89" i="1"/>
  <c r="K89" i="1"/>
  <c r="N89" i="1"/>
  <c r="Q89" i="1"/>
  <c r="H90" i="1"/>
  <c r="K90" i="1"/>
  <c r="N90" i="1"/>
  <c r="Q90" i="1"/>
  <c r="H91" i="1"/>
  <c r="K91" i="1"/>
  <c r="N91" i="1"/>
  <c r="Q91" i="1"/>
  <c r="H92" i="1"/>
  <c r="K92" i="1"/>
  <c r="N92" i="1"/>
  <c r="Q92" i="1"/>
  <c r="H93" i="1"/>
  <c r="K93" i="1"/>
  <c r="N93" i="1"/>
  <c r="Q93" i="1"/>
  <c r="H94" i="1"/>
  <c r="K94" i="1"/>
  <c r="N94" i="1"/>
  <c r="Q94" i="1"/>
  <c r="H95" i="1"/>
  <c r="K95" i="1"/>
  <c r="N95" i="1"/>
  <c r="Q95" i="1"/>
  <c r="H96" i="1"/>
  <c r="K96" i="1"/>
  <c r="N96" i="1"/>
  <c r="Q96" i="1"/>
  <c r="H97" i="1"/>
  <c r="K97" i="1"/>
  <c r="N97" i="1"/>
  <c r="Q97" i="1"/>
  <c r="H98" i="1"/>
  <c r="K98" i="1"/>
  <c r="N98" i="1"/>
  <c r="Q98" i="1"/>
  <c r="H99" i="1"/>
  <c r="K99" i="1"/>
  <c r="N99" i="1"/>
  <c r="Q99" i="1"/>
  <c r="H100" i="1"/>
  <c r="K100" i="1"/>
  <c r="N100" i="1"/>
  <c r="Q100" i="1"/>
  <c r="H101" i="1"/>
  <c r="K101" i="1"/>
  <c r="N101" i="1"/>
  <c r="Q101" i="1"/>
  <c r="H102" i="1"/>
  <c r="K102" i="1"/>
  <c r="N102" i="1"/>
  <c r="Q102" i="1"/>
  <c r="H103" i="1"/>
  <c r="K103" i="1"/>
  <c r="N103" i="1"/>
  <c r="Q103" i="1"/>
  <c r="H104" i="1"/>
  <c r="K104" i="1"/>
  <c r="N104" i="1"/>
  <c r="Q104" i="1"/>
  <c r="H105" i="1"/>
  <c r="K105" i="1"/>
  <c r="N105" i="1"/>
  <c r="Q105" i="1"/>
  <c r="H106" i="1"/>
  <c r="K106" i="1"/>
  <c r="N106" i="1"/>
  <c r="Q106" i="1"/>
  <c r="H107" i="1"/>
  <c r="K107" i="1"/>
  <c r="N107" i="1"/>
  <c r="Q107" i="1"/>
  <c r="H108" i="1"/>
  <c r="K108" i="1"/>
  <c r="N108" i="1"/>
  <c r="Q108" i="1"/>
  <c r="H109" i="1"/>
  <c r="K109" i="1"/>
  <c r="N109" i="1"/>
  <c r="Q109" i="1"/>
  <c r="B15" i="1"/>
  <c r="G15" i="1"/>
  <c r="J15" i="1"/>
  <c r="M15" i="1"/>
  <c r="P15" i="1"/>
  <c r="B16" i="1"/>
  <c r="G16" i="1"/>
  <c r="J16" i="1"/>
  <c r="M16" i="1"/>
  <c r="P16" i="1"/>
  <c r="B17" i="1"/>
  <c r="G17" i="1"/>
  <c r="J17" i="1"/>
  <c r="M17" i="1"/>
  <c r="P17" i="1"/>
  <c r="B37" i="4"/>
  <c r="B36" i="4"/>
  <c r="B35" i="4"/>
  <c r="B34" i="4"/>
  <c r="B33" i="4"/>
  <c r="B32" i="4"/>
  <c r="B31" i="4"/>
  <c r="B30" i="4"/>
  <c r="B29" i="4"/>
  <c r="B28" i="4"/>
  <c r="B27" i="4"/>
  <c r="B26" i="4"/>
  <c r="B25" i="4"/>
  <c r="B24" i="4"/>
  <c r="B23" i="4"/>
  <c r="B22" i="4"/>
  <c r="B21" i="4"/>
  <c r="B20" i="4"/>
  <c r="B19" i="4"/>
  <c r="B18" i="4"/>
  <c r="B17" i="4"/>
  <c r="B16" i="4"/>
  <c r="B15" i="4"/>
  <c r="B14" i="4"/>
  <c r="B13" i="4"/>
  <c r="B12" i="4"/>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6" i="6"/>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8"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8" i="16"/>
  <c r="B9" i="16"/>
  <c r="B10" i="16"/>
  <c r="B11" i="16"/>
  <c r="B12" i="16"/>
  <c r="B13" i="16"/>
  <c r="B14" i="16"/>
  <c r="B15" i="16"/>
  <c r="B16" i="16"/>
  <c r="B17" i="16"/>
  <c r="B18" i="16"/>
  <c r="B19" i="16"/>
  <c r="B20" i="16"/>
  <c r="B7" i="16"/>
  <c r="C5" i="8"/>
  <c r="G5" i="5"/>
  <c r="F5" i="5"/>
  <c r="F6" i="1"/>
  <c r="I6" i="1"/>
  <c r="L6" i="1"/>
  <c r="O6" i="1"/>
  <c r="D6" i="1"/>
  <c r="G16" i="2"/>
  <c r="G20" i="2"/>
  <c r="G12" i="2"/>
  <c r="G18" i="2"/>
  <c r="G9" i="2"/>
  <c r="G8" i="2"/>
  <c r="G10" i="2"/>
  <c r="G17" i="2"/>
  <c r="F5" i="6"/>
  <c r="G5" i="6"/>
  <c r="G6" i="2"/>
  <c r="M6" i="21"/>
  <c r="H14" i="2"/>
  <c r="G13" i="2"/>
  <c r="C21" i="2"/>
  <c r="G19" i="2"/>
  <c r="H15" i="2"/>
  <c r="G14" i="2"/>
  <c r="E13" i="2"/>
  <c r="D11" i="2"/>
  <c r="H21" i="2"/>
  <c r="G21" i="2"/>
  <c r="H11" i="2"/>
  <c r="G11" i="2"/>
  <c r="D13" i="2"/>
  <c r="M6" i="22"/>
  <c r="P6" i="22"/>
  <c r="S6" i="22"/>
  <c r="P6" i="21"/>
  <c r="R6" i="20"/>
  <c r="M6" i="20"/>
  <c r="P6" i="20"/>
  <c r="S6" i="20"/>
  <c r="R6" i="19"/>
  <c r="M6" i="19"/>
  <c r="P6" i="19"/>
  <c r="S6" i="19"/>
  <c r="F8" i="2"/>
  <c r="R6" i="4"/>
  <c r="P6" i="4"/>
  <c r="M6" i="4"/>
  <c r="F11" i="2"/>
  <c r="I11" i="2"/>
  <c r="S6" i="4"/>
  <c r="F16" i="2"/>
  <c r="I16" i="2"/>
  <c r="F15" i="2"/>
  <c r="F10" i="2"/>
  <c r="F18" i="2"/>
  <c r="F17" i="2"/>
  <c r="F9" i="2"/>
  <c r="I9" i="2"/>
  <c r="D21" i="2"/>
  <c r="D19" i="2"/>
  <c r="F7" i="2"/>
  <c r="F14" i="2"/>
  <c r="C7" i="2"/>
  <c r="F21" i="2"/>
  <c r="F13" i="2"/>
  <c r="G7" i="2"/>
  <c r="E7" i="1"/>
  <c r="D6" i="2"/>
  <c r="D18" i="2"/>
  <c r="D7" i="2"/>
  <c r="F20" i="2"/>
  <c r="F12" i="2"/>
  <c r="D20" i="2"/>
  <c r="F19" i="2"/>
  <c r="I12" i="2"/>
  <c r="I10" i="2"/>
  <c r="I8" i="2"/>
  <c r="I17" i="2"/>
  <c r="I13" i="2"/>
  <c r="I14" i="2"/>
  <c r="I15" i="2"/>
  <c r="I20" i="2"/>
  <c r="I7" i="2"/>
  <c r="I18" i="2"/>
  <c r="I19" i="2"/>
  <c r="I21" i="2"/>
  <c r="J6" i="2"/>
  <c r="D5" i="14"/>
  <c r="I6" i="2"/>
  <c r="C5" i="14"/>
</calcChain>
</file>

<file path=xl/comments1.xml><?xml version="1.0" encoding="utf-8"?>
<comments xmlns="http://schemas.openxmlformats.org/spreadsheetml/2006/main">
  <authors>
    <author>Rétsághy Zsolt</author>
  </authors>
  <commentList>
    <comment ref="D4" authorId="0">
      <text>
        <r>
          <rPr>
            <sz val="8"/>
            <color indexed="81"/>
            <rFont val="Tahoma"/>
            <family val="2"/>
            <charset val="238"/>
          </rPr>
          <t>Nem programországok esetén csak Short-term joint staff training events</t>
        </r>
      </text>
    </comment>
    <comment ref="F4" authorId="0">
      <text>
        <r>
          <rPr>
            <sz val="8"/>
            <color indexed="81"/>
            <rFont val="Tahoma"/>
            <family val="2"/>
            <charset val="238"/>
          </rPr>
          <t>Rövid típ.: 5-60 nap, hosszú típ.: 60-365 
nap</t>
        </r>
      </text>
    </comment>
    <comment ref="H4" authorId="0">
      <text>
        <r>
          <rPr>
            <sz val="8"/>
            <color indexed="81"/>
            <rFont val="Tahoma"/>
            <family val="2"/>
            <charset val="238"/>
          </rPr>
          <t>Csak a Short-term blended... esetén</t>
        </r>
      </text>
    </comment>
    <comment ref="I4" authorId="0">
      <text>
        <r>
          <rPr>
            <sz val="8"/>
            <color indexed="81"/>
            <rFont val="Tahoma"/>
            <family val="2"/>
            <charset val="238"/>
          </rPr>
          <t>Nem lehet hosszabb, mint a részvevőké</t>
        </r>
      </text>
    </comment>
    <comment ref="O5" authorId="0">
      <text>
        <r>
          <rPr>
            <sz val="8"/>
            <color indexed="81"/>
            <rFont val="Tahoma"/>
            <family val="2"/>
            <charset val="238"/>
          </rPr>
          <t>A joint staff training rátáival számol</t>
        </r>
      </text>
    </comment>
    <comment ref="Q5" authorId="0">
      <text>
        <r>
          <rPr>
            <sz val="8"/>
            <color indexed="81"/>
            <rFont val="Tahoma"/>
            <family val="2"/>
            <charset val="238"/>
          </rPr>
          <t>Csak Long… esetén</t>
        </r>
      </text>
    </comment>
  </commentList>
</comments>
</file>

<file path=xl/comments2.xml><?xml version="1.0" encoding="utf-8"?>
<comments xmlns="http://schemas.openxmlformats.org/spreadsheetml/2006/main">
  <authors>
    <author>Rétsághy Zsolt</author>
  </authors>
  <commentList>
    <comment ref="D4" authorId="0">
      <text>
        <r>
          <rPr>
            <sz val="8"/>
            <color indexed="81"/>
            <rFont val="Tahoma"/>
            <family val="2"/>
            <charset val="238"/>
          </rPr>
          <t>Nem programországok esetén csak Short-term joint staff training events</t>
        </r>
      </text>
    </comment>
    <comment ref="F4" authorId="0">
      <text>
        <r>
          <rPr>
            <sz val="8"/>
            <color indexed="81"/>
            <rFont val="Tahoma"/>
            <family val="2"/>
            <charset val="238"/>
          </rPr>
          <t>Rövid típ.: 5-60 nap, hosszú típ.: 60-365 
nap</t>
        </r>
      </text>
    </comment>
    <comment ref="H4" authorId="0">
      <text>
        <r>
          <rPr>
            <sz val="8"/>
            <color indexed="81"/>
            <rFont val="Tahoma"/>
            <family val="2"/>
            <charset val="238"/>
          </rPr>
          <t>Csak Short-term blended…, Short-term exchanges… és Long-term study... esetén</t>
        </r>
      </text>
    </comment>
    <comment ref="I4" authorId="0">
      <text>
        <r>
          <rPr>
            <sz val="8"/>
            <color indexed="81"/>
            <rFont val="Tahoma"/>
            <family val="2"/>
            <charset val="238"/>
          </rPr>
          <t>Nem lehet hosszabb, mint a részvevőké</t>
        </r>
      </text>
    </comment>
    <comment ref="O5" authorId="0">
      <text>
        <r>
          <rPr>
            <sz val="8"/>
            <color indexed="81"/>
            <rFont val="Tahoma"/>
            <family val="2"/>
            <charset val="238"/>
          </rPr>
          <t>A joint staff training rátáival számol</t>
        </r>
      </text>
    </comment>
    <comment ref="Q5" authorId="0">
      <text>
        <r>
          <rPr>
            <sz val="8"/>
            <color indexed="81"/>
            <rFont val="Tahoma"/>
            <family val="2"/>
            <charset val="238"/>
          </rPr>
          <t>Csak Long… esetén</t>
        </r>
      </text>
    </comment>
  </commentList>
</comments>
</file>

<file path=xl/comments3.xml><?xml version="1.0" encoding="utf-8"?>
<comments xmlns="http://schemas.openxmlformats.org/spreadsheetml/2006/main">
  <authors>
    <author>Rétsághy Zsolt</author>
  </authors>
  <commentList>
    <comment ref="D4" authorId="0">
      <text>
        <r>
          <rPr>
            <sz val="8"/>
            <color indexed="81"/>
            <rFont val="Tahoma"/>
            <family val="2"/>
            <charset val="238"/>
          </rPr>
          <t>Nem programországok esetén csak Short-term joint staff training events</t>
        </r>
      </text>
    </comment>
    <comment ref="F4" authorId="0">
      <text>
        <r>
          <rPr>
            <sz val="8"/>
            <color indexed="81"/>
            <rFont val="Tahoma"/>
            <family val="2"/>
            <charset val="238"/>
          </rPr>
          <t>Rövid típ.: 5-60 nap, hosszú típ.: 60-365 
nap</t>
        </r>
      </text>
    </comment>
    <comment ref="H4" authorId="0">
      <text>
        <r>
          <rPr>
            <sz val="8"/>
            <color indexed="81"/>
            <rFont val="Tahoma"/>
            <family val="2"/>
            <charset val="238"/>
          </rPr>
          <t>Csak a Short-term blended... esetén</t>
        </r>
      </text>
    </comment>
    <comment ref="I4" authorId="0">
      <text>
        <r>
          <rPr>
            <sz val="8"/>
            <color indexed="81"/>
            <rFont val="Tahoma"/>
            <family val="2"/>
            <charset val="238"/>
          </rPr>
          <t>Nem lehet hosszabb, mint a részvevőké</t>
        </r>
      </text>
    </comment>
    <comment ref="O5" authorId="0">
      <text>
        <r>
          <rPr>
            <sz val="8"/>
            <color indexed="81"/>
            <rFont val="Tahoma"/>
            <family val="2"/>
            <charset val="238"/>
          </rPr>
          <t>A joint staff training rátáival számol</t>
        </r>
      </text>
    </comment>
    <comment ref="Q5" authorId="0">
      <text>
        <r>
          <rPr>
            <sz val="8"/>
            <color indexed="81"/>
            <rFont val="Tahoma"/>
            <family val="2"/>
            <charset val="238"/>
          </rPr>
          <t>Csak Long… esetén</t>
        </r>
      </text>
    </comment>
  </commentList>
</comments>
</file>

<file path=xl/comments4.xml><?xml version="1.0" encoding="utf-8"?>
<comments xmlns="http://schemas.openxmlformats.org/spreadsheetml/2006/main">
  <authors>
    <author>Rétsághy Zsolt</author>
  </authors>
  <commentList>
    <comment ref="D4" authorId="0">
      <text>
        <r>
          <rPr>
            <sz val="8"/>
            <color indexed="81"/>
            <rFont val="Tahoma"/>
            <family val="2"/>
            <charset val="238"/>
          </rPr>
          <t>Nem programországok esetén csak Short-term joint staff training events</t>
        </r>
      </text>
    </comment>
    <comment ref="F4" authorId="0">
      <text>
        <r>
          <rPr>
            <sz val="8"/>
            <color indexed="81"/>
            <rFont val="Tahoma"/>
            <family val="2"/>
            <charset val="238"/>
          </rPr>
          <t>Rövid típ.: 5-60 nap, hosszú típ.: 60-365 
nap</t>
        </r>
      </text>
    </comment>
    <comment ref="H4" authorId="0">
      <text>
        <r>
          <rPr>
            <sz val="8"/>
            <color indexed="81"/>
            <rFont val="Tahoma"/>
            <family val="2"/>
            <charset val="238"/>
          </rPr>
          <t>Csak a Short-term blended... esetén</t>
        </r>
      </text>
    </comment>
    <comment ref="I4" authorId="0">
      <text>
        <r>
          <rPr>
            <sz val="8"/>
            <color indexed="81"/>
            <rFont val="Tahoma"/>
            <family val="2"/>
            <charset val="238"/>
          </rPr>
          <t>Nem lehet hosszabb, mint a részvevőké</t>
        </r>
      </text>
    </comment>
    <comment ref="O5" authorId="0">
      <text>
        <r>
          <rPr>
            <sz val="8"/>
            <color indexed="81"/>
            <rFont val="Tahoma"/>
            <family val="2"/>
            <charset val="238"/>
          </rPr>
          <t>A joint staff training rátáival számol</t>
        </r>
      </text>
    </comment>
    <comment ref="Q5" authorId="0">
      <text>
        <r>
          <rPr>
            <sz val="8"/>
            <color indexed="81"/>
            <rFont val="Tahoma"/>
            <family val="2"/>
            <charset val="238"/>
          </rPr>
          <t>Csak Long… esetén</t>
        </r>
      </text>
    </comment>
  </commentList>
</comments>
</file>

<file path=xl/comments5.xml><?xml version="1.0" encoding="utf-8"?>
<comments xmlns="http://schemas.openxmlformats.org/spreadsheetml/2006/main">
  <authors>
    <author>Rétsághy Zsolt</author>
  </authors>
  <commentList>
    <comment ref="D4" authorId="0">
      <text>
        <r>
          <rPr>
            <sz val="8"/>
            <color indexed="81"/>
            <rFont val="Tahoma"/>
            <family val="2"/>
            <charset val="238"/>
          </rPr>
          <t>Nem programországok esetén csak Short-term joint staff training events</t>
        </r>
      </text>
    </comment>
    <comment ref="F4" authorId="0">
      <text>
        <r>
          <rPr>
            <sz val="8"/>
            <color indexed="81"/>
            <rFont val="Tahoma"/>
            <family val="2"/>
            <charset val="238"/>
          </rPr>
          <t>Rövid típ.: 5-60 nap, hosszú típ.: 60-365 
nap</t>
        </r>
      </text>
    </comment>
    <comment ref="H4" authorId="0">
      <text>
        <r>
          <rPr>
            <sz val="8"/>
            <color indexed="81"/>
            <rFont val="Tahoma"/>
            <family val="2"/>
            <charset val="238"/>
          </rPr>
          <t>Nem lehet</t>
        </r>
      </text>
    </comment>
    <comment ref="I4" authorId="0">
      <text>
        <r>
          <rPr>
            <sz val="8"/>
            <color indexed="81"/>
            <rFont val="Tahoma"/>
            <family val="2"/>
            <charset val="238"/>
          </rPr>
          <t>Nem lehet hosszabb, mint a részvevőké</t>
        </r>
      </text>
    </comment>
    <comment ref="O5" authorId="0">
      <text>
        <r>
          <rPr>
            <sz val="8"/>
            <color indexed="81"/>
            <rFont val="Tahoma"/>
            <family val="2"/>
            <charset val="238"/>
          </rPr>
          <t>A joint staff training rátáival számol</t>
        </r>
      </text>
    </comment>
    <comment ref="Q5" authorId="0">
      <text>
        <r>
          <rPr>
            <sz val="8"/>
            <color indexed="81"/>
            <rFont val="Tahoma"/>
            <family val="2"/>
            <charset val="238"/>
          </rPr>
          <t>Csak Long… esetén</t>
        </r>
      </text>
    </comment>
  </commentList>
</comments>
</file>

<file path=xl/sharedStrings.xml><?xml version="1.0" encoding="utf-8"?>
<sst xmlns="http://schemas.openxmlformats.org/spreadsheetml/2006/main" count="738" uniqueCount="504">
  <si>
    <t>All figures in Euro</t>
  </si>
  <si>
    <t> </t>
  </si>
  <si>
    <t>Description</t>
  </si>
  <si>
    <t xml:space="preserve">3. Technical </t>
  </si>
  <si>
    <t xml:space="preserve">4. Administrative </t>
  </si>
  <si>
    <t>AT</t>
  </si>
  <si>
    <t>CZ</t>
  </si>
  <si>
    <t>CY</t>
  </si>
  <si>
    <t>BE</t>
  </si>
  <si>
    <t>DK</t>
  </si>
  <si>
    <t>DE</t>
  </si>
  <si>
    <t>EE</t>
  </si>
  <si>
    <t>ES</t>
  </si>
  <si>
    <t>FR</t>
  </si>
  <si>
    <t>IE</t>
  </si>
  <si>
    <t>IT</t>
  </si>
  <si>
    <t>LT</t>
  </si>
  <si>
    <t>LU</t>
  </si>
  <si>
    <t>HU</t>
  </si>
  <si>
    <t>MT</t>
  </si>
  <si>
    <t>NL</t>
  </si>
  <si>
    <t>PL</t>
  </si>
  <si>
    <t>PT</t>
  </si>
  <si>
    <t>SI</t>
  </si>
  <si>
    <t>SK</t>
  </si>
  <si>
    <t>FI</t>
  </si>
  <si>
    <t>SE</t>
  </si>
  <si>
    <t>IS</t>
  </si>
  <si>
    <t>LI</t>
  </si>
  <si>
    <t>NO</t>
  </si>
  <si>
    <t>BG</t>
  </si>
  <si>
    <t>RO</t>
  </si>
  <si>
    <t>Country</t>
  </si>
  <si>
    <t>Cost per day</t>
  </si>
  <si>
    <t xml:space="preserve">1. Manager </t>
  </si>
  <si>
    <t>Country of destination</t>
  </si>
  <si>
    <t>Total costs</t>
  </si>
  <si>
    <t xml:space="preserve"> Staff by category</t>
  </si>
  <si>
    <t>Overall total number of working days</t>
  </si>
  <si>
    <t>Manager</t>
  </si>
  <si>
    <t>Technical</t>
  </si>
  <si>
    <t>Administrative</t>
  </si>
  <si>
    <t>GB</t>
  </si>
  <si>
    <t>TR</t>
  </si>
  <si>
    <t>STAFF 
costs ceilings</t>
  </si>
  <si>
    <t>Country 
Code</t>
  </si>
  <si>
    <t>Researcher
Teacher
Trainer</t>
  </si>
  <si>
    <t>EL</t>
  </si>
  <si>
    <t>LV</t>
  </si>
  <si>
    <t>Project Acronym:</t>
  </si>
  <si>
    <t>WORKPLAN AND WORK PACKAGES</t>
  </si>
  <si>
    <t>Project duration</t>
  </si>
  <si>
    <t>HR</t>
  </si>
  <si>
    <t>CH</t>
  </si>
  <si>
    <t>Belgium</t>
  </si>
  <si>
    <t>Bulgária</t>
  </si>
  <si>
    <t>Dánia</t>
  </si>
  <si>
    <t>Németország</t>
  </si>
  <si>
    <t>Észtország</t>
  </si>
  <si>
    <t>Görögország</t>
  </si>
  <si>
    <t>Spanyolország</t>
  </si>
  <si>
    <t>Írország</t>
  </si>
  <si>
    <t>Olaszország</t>
  </si>
  <si>
    <t>Ciprus</t>
  </si>
  <si>
    <t>Lettország</t>
  </si>
  <si>
    <t>Litvánia</t>
  </si>
  <si>
    <t>Luxembourg</t>
  </si>
  <si>
    <t>Magyarország</t>
  </si>
  <si>
    <t>Hollandia</t>
  </si>
  <si>
    <t>Ausztria</t>
  </si>
  <si>
    <t>Lengyelország</t>
  </si>
  <si>
    <t>Szlovénia</t>
  </si>
  <si>
    <t>Szlovákia</t>
  </si>
  <si>
    <t>Finnország</t>
  </si>
  <si>
    <t>Svédország</t>
  </si>
  <si>
    <t>Izland</t>
  </si>
  <si>
    <t>Liechtenstein</t>
  </si>
  <si>
    <t>Norvégia</t>
  </si>
  <si>
    <t>Horvátország</t>
  </si>
  <si>
    <t>Svájc</t>
  </si>
  <si>
    <t>Törökország</t>
  </si>
  <si>
    <t>MK</t>
  </si>
  <si>
    <t>Szerbia</t>
  </si>
  <si>
    <t>RS</t>
  </si>
  <si>
    <t>Bosznia- Hercegovina</t>
  </si>
  <si>
    <t>BA</t>
  </si>
  <si>
    <t>Montenegró</t>
  </si>
  <si>
    <t>ME</t>
  </si>
  <si>
    <t>Franciaország</t>
  </si>
  <si>
    <t>Portugália</t>
  </si>
  <si>
    <t>Románia</t>
  </si>
  <si>
    <t>Macedónia</t>
  </si>
  <si>
    <t>Málta</t>
  </si>
  <si>
    <t>Csehország</t>
  </si>
  <si>
    <t>Egyesült Királyság</t>
  </si>
  <si>
    <t>Görögörszág</t>
  </si>
  <si>
    <t>Luxemburg</t>
  </si>
  <si>
    <t>Partner meetings</t>
  </si>
  <si>
    <t>Project management and implementation - GRANT REQUESTED</t>
  </si>
  <si>
    <t>Program Countries</t>
  </si>
  <si>
    <t>Partner Countries</t>
  </si>
  <si>
    <t>San Marino</t>
  </si>
  <si>
    <t>United States of America</t>
  </si>
  <si>
    <t>Andorra</t>
  </si>
  <si>
    <t>Bahamas</t>
  </si>
  <si>
    <t>Afghanistan</t>
  </si>
  <si>
    <t>Project duration (months)</t>
  </si>
  <si>
    <t>Grant requested / months</t>
  </si>
  <si>
    <t>Grant requested / total</t>
  </si>
  <si>
    <t>Intellectual outputs - GRANT REQUESTED</t>
  </si>
  <si>
    <t>Total grant - staff by category</t>
  </si>
  <si>
    <t>Countries</t>
  </si>
  <si>
    <t>Australia</t>
  </si>
  <si>
    <t>Canada</t>
  </si>
  <si>
    <t>Kuwait</t>
  </si>
  <si>
    <t>Macao</t>
  </si>
  <si>
    <t>Monaco</t>
  </si>
  <si>
    <t>Qatar</t>
  </si>
  <si>
    <t>Project management and implementation</t>
  </si>
  <si>
    <t>Transnational training, teaching and learning</t>
  </si>
  <si>
    <t>Special needs support</t>
  </si>
  <si>
    <t>Short term joint staff training events</t>
  </si>
  <si>
    <t>Only for activities lasting between 2 and 12 months needing linguistic support:
per participant</t>
  </si>
  <si>
    <t>Conditional: the request for financial support must be motivated in the application form</t>
  </si>
  <si>
    <t>Conditional: applicants will have to justify that mobility activities are necessary to achieve the objectives and results of the project.
Travel distances must be calculated using the distance calculator supported by the European Commission.</t>
  </si>
  <si>
    <r>
      <t xml:space="preserve">up to the 14th day of activity: B1.5 </t>
    </r>
    <r>
      <rPr>
        <b/>
        <sz val="10"/>
        <color indexed="10"/>
        <rFont val="Arial"/>
        <family val="2"/>
        <charset val="238"/>
      </rPr>
      <t xml:space="preserve">per day per participant </t>
    </r>
  </si>
  <si>
    <t>Transnational Project Meetings - GRANT REQUESTED</t>
  </si>
  <si>
    <t>For travel distances of 2000 KM or more:</t>
  </si>
  <si>
    <t>Number of working days on the item</t>
  </si>
  <si>
    <t>Purpose of the meeting</t>
  </si>
  <si>
    <t>Distance Band</t>
  </si>
  <si>
    <t>Grant Requested</t>
  </si>
  <si>
    <t>Duration (days)</t>
  </si>
  <si>
    <t>Distance band</t>
  </si>
  <si>
    <t>100-1999 km</t>
  </si>
  <si>
    <t>Intellectual outputs</t>
  </si>
  <si>
    <t>more than 2000 km</t>
  </si>
  <si>
    <t>Transnational Project meetings</t>
  </si>
  <si>
    <t>Exceptional costs</t>
  </si>
  <si>
    <t>Intellectual Outputs</t>
  </si>
  <si>
    <t>Grant requested</t>
  </si>
  <si>
    <t xml:space="preserve">Total grant requested
</t>
  </si>
  <si>
    <t>Total grant requested</t>
  </si>
  <si>
    <t>Event Identification</t>
  </si>
  <si>
    <t>Nr. of Local Participants</t>
  </si>
  <si>
    <t>Nr. of Foreign Participants</t>
  </si>
  <si>
    <t>Total grant  requested</t>
  </si>
  <si>
    <t>Overall 
total grant requested</t>
  </si>
  <si>
    <t>Special Needs - GRANT REQUESTED</t>
  </si>
  <si>
    <t>Nr. of Participants with Special Needs</t>
  </si>
  <si>
    <t>List of activities to which the item refers to</t>
  </si>
  <si>
    <t>Exceptional Costs - GRANT REQUESTED</t>
  </si>
  <si>
    <t>Description of Cost Item</t>
  </si>
  <si>
    <t>MultiplIer Events - GRANT REQUESTED</t>
  </si>
  <si>
    <t>Activity type</t>
  </si>
  <si>
    <t>Nr. of Participants</t>
  </si>
  <si>
    <t>Travel Grant Requested</t>
  </si>
  <si>
    <t>Multiplier Events</t>
  </si>
  <si>
    <t>For travel distances between 100 and 1999 KM:</t>
  </si>
  <si>
    <t>Grant/ participants</t>
  </si>
  <si>
    <t>Limit of grant</t>
  </si>
  <si>
    <t>Limit</t>
  </si>
  <si>
    <t xml:space="preserve">Limit of grant </t>
  </si>
  <si>
    <t>between the 15 th and 60 th day of activity: per day per participant</t>
  </si>
  <si>
    <t>Brunei</t>
  </si>
  <si>
    <t>Japan</t>
  </si>
  <si>
    <t>New Zealand</t>
  </si>
  <si>
    <t>Singapore</t>
  </si>
  <si>
    <t>United Arab Emirates</t>
  </si>
  <si>
    <t>Vatican City State</t>
  </si>
  <si>
    <t>Bahrain</t>
  </si>
  <si>
    <t>Equatorial Guinea</t>
  </si>
  <si>
    <t>Hong Kong</t>
  </si>
  <si>
    <t>Israel</t>
  </si>
  <si>
    <t>Korea (Republic of)</t>
  </si>
  <si>
    <t>Oman</t>
  </si>
  <si>
    <t>Saudi Arabia</t>
  </si>
  <si>
    <t>Taiwan</t>
  </si>
  <si>
    <t>Albania</t>
  </si>
  <si>
    <t>Algeria</t>
  </si>
  <si>
    <t>Angola</t>
  </si>
  <si>
    <t>Antigua and Barbuda</t>
  </si>
  <si>
    <t>Argentina</t>
  </si>
  <si>
    <t>Armenia</t>
  </si>
  <si>
    <t>Azerbaijan</t>
  </si>
  <si>
    <t>Bangladesh</t>
  </si>
  <si>
    <t>Barbados</t>
  </si>
  <si>
    <t>Chile</t>
  </si>
  <si>
    <t>Belarus</t>
  </si>
  <si>
    <t>Belize</t>
  </si>
  <si>
    <t>Benin</t>
  </si>
  <si>
    <t>Bhutan</t>
  </si>
  <si>
    <t>Bolivia</t>
  </si>
  <si>
    <t>Bosnia and Herzegovina</t>
  </si>
  <si>
    <t>Botswana</t>
  </si>
  <si>
    <t>Brazil</t>
  </si>
  <si>
    <t>Burkina Faso</t>
  </si>
  <si>
    <t>Burundi</t>
  </si>
  <si>
    <t>Cambodia</t>
  </si>
  <si>
    <t>Cameroon</t>
  </si>
  <si>
    <t>Cape Verde</t>
  </si>
  <si>
    <t>Central African Republic</t>
  </si>
  <si>
    <t>Chad</t>
  </si>
  <si>
    <t>China</t>
  </si>
  <si>
    <t>Colombia</t>
  </si>
  <si>
    <t>Comoros</t>
  </si>
  <si>
    <t>Congo (Brazzaville)</t>
  </si>
  <si>
    <t>Congo (Kinshasa)</t>
  </si>
  <si>
    <t>Cook Islands</t>
  </si>
  <si>
    <t>Costa Rica</t>
  </si>
  <si>
    <t>Cuba</t>
  </si>
  <si>
    <t>Djibouti</t>
  </si>
  <si>
    <t>Dominica</t>
  </si>
  <si>
    <t>Dominican Republic</t>
  </si>
  <si>
    <t>East Timor</t>
  </si>
  <si>
    <t>Ecuador</t>
  </si>
  <si>
    <t>Egypt</t>
  </si>
  <si>
    <t>El Salvador</t>
  </si>
  <si>
    <t>Eritrea</t>
  </si>
  <si>
    <t>Ethiopia</t>
  </si>
  <si>
    <t>Fiji</t>
  </si>
  <si>
    <t>Gabon</t>
  </si>
  <si>
    <t>Gambia</t>
  </si>
  <si>
    <t>Georgia</t>
  </si>
  <si>
    <t>Ghana</t>
  </si>
  <si>
    <t>Grenada</t>
  </si>
  <si>
    <t>Guatemala</t>
  </si>
  <si>
    <t>Guinea (Republic of)</t>
  </si>
  <si>
    <t>Guinea-Bissau</t>
  </si>
  <si>
    <t>Guyana</t>
  </si>
  <si>
    <t>Haiti</t>
  </si>
  <si>
    <t>Honduras</t>
  </si>
  <si>
    <t>India</t>
  </si>
  <si>
    <t>Indonesia</t>
  </si>
  <si>
    <t>Iran</t>
  </si>
  <si>
    <t>Iraq</t>
  </si>
  <si>
    <t>Ivory Coast</t>
  </si>
  <si>
    <t>Jamaica</t>
  </si>
  <si>
    <t>Jordan</t>
  </si>
  <si>
    <t>Kazakhstan</t>
  </si>
  <si>
    <t>Kenya</t>
  </si>
  <si>
    <t>Kiribati</t>
  </si>
  <si>
    <t>Korea (DPR)</t>
  </si>
  <si>
    <t>Kosovo</t>
  </si>
  <si>
    <t>Kyrgyzstan</t>
  </si>
  <si>
    <t>Laos</t>
  </si>
  <si>
    <t>Lebanon</t>
  </si>
  <si>
    <t>Lesotho</t>
  </si>
  <si>
    <t>Liberia</t>
  </si>
  <si>
    <t>Libya</t>
  </si>
  <si>
    <t>Madagascar</t>
  </si>
  <si>
    <t>Malawi</t>
  </si>
  <si>
    <t>Malaysia</t>
  </si>
  <si>
    <t>Maldives</t>
  </si>
  <si>
    <t>Mali</t>
  </si>
  <si>
    <t>Marshall Islands</t>
  </si>
  <si>
    <t>Mauritania</t>
  </si>
  <si>
    <t>Mauritius</t>
  </si>
  <si>
    <t>Mexico</t>
  </si>
  <si>
    <t>Micronesia</t>
  </si>
  <si>
    <t>Moldova</t>
  </si>
  <si>
    <t>Mongolia</t>
  </si>
  <si>
    <t>Montenegro</t>
  </si>
  <si>
    <t>Morocco</t>
  </si>
  <si>
    <t>Mozambique</t>
  </si>
  <si>
    <t>Myanmar</t>
  </si>
  <si>
    <t>Namibia</t>
  </si>
  <si>
    <t>Nauru</t>
  </si>
  <si>
    <t>Nepal</t>
  </si>
  <si>
    <t>Nicaragua</t>
  </si>
  <si>
    <t>Niger</t>
  </si>
  <si>
    <t>Nigeria</t>
  </si>
  <si>
    <t>Niue</t>
  </si>
  <si>
    <t>Pakistan</t>
  </si>
  <si>
    <t>Palau</t>
  </si>
  <si>
    <t>Palestine</t>
  </si>
  <si>
    <t>Panama</t>
  </si>
  <si>
    <t>Papua New Guinea</t>
  </si>
  <si>
    <t>Paraguay</t>
  </si>
  <si>
    <t>Peru</t>
  </si>
  <si>
    <t>Philippines</t>
  </si>
  <si>
    <t>Russian Federation</t>
  </si>
  <si>
    <t>Rwanda</t>
  </si>
  <si>
    <t>Samoa</t>
  </si>
  <si>
    <t>Sao Tome and Principe</t>
  </si>
  <si>
    <t>Senegal</t>
  </si>
  <si>
    <t>Serbia</t>
  </si>
  <si>
    <t>Seychelles</t>
  </si>
  <si>
    <t>Sierra Leone</t>
  </si>
  <si>
    <t>Solomon Islands</t>
  </si>
  <si>
    <t>Somalia</t>
  </si>
  <si>
    <t>South Africa</t>
  </si>
  <si>
    <t>Sri Lanka</t>
  </si>
  <si>
    <t>St. Lucia</t>
  </si>
  <si>
    <t>St. Vincent and the Grenadines</t>
  </si>
  <si>
    <t>St. Kitts and Nevis</t>
  </si>
  <si>
    <t>Sudan</t>
  </si>
  <si>
    <t>Suriname</t>
  </si>
  <si>
    <t>Swaziland</t>
  </si>
  <si>
    <t>Syria</t>
  </si>
  <si>
    <t>Tajikistan</t>
  </si>
  <si>
    <t>Tanzania</t>
  </si>
  <si>
    <t>Thailand</t>
  </si>
  <si>
    <t>Togo</t>
  </si>
  <si>
    <t>Tonga</t>
  </si>
  <si>
    <t>Trinidad and Tobago</t>
  </si>
  <si>
    <t>Tunisia</t>
  </si>
  <si>
    <t>Turkmenistan</t>
  </si>
  <si>
    <t>Tuvalu</t>
  </si>
  <si>
    <t>Uganda</t>
  </si>
  <si>
    <t>Ukraine</t>
  </si>
  <si>
    <t>Uruguay</t>
  </si>
  <si>
    <t>Uzbekistan</t>
  </si>
  <si>
    <t>Vanuatu</t>
  </si>
  <si>
    <t>Venezuela</t>
  </si>
  <si>
    <t>Vietnam</t>
  </si>
  <si>
    <t>Yemen</t>
  </si>
  <si>
    <t>Zambia</t>
  </si>
  <si>
    <t>Zimbabwe</t>
  </si>
  <si>
    <t>Partner Nr.</t>
  </si>
  <si>
    <t>Grant per Local Participants:</t>
  </si>
  <si>
    <t>Grant per Foreign Participants:</t>
  </si>
  <si>
    <t>Grant  requested (75%)</t>
  </si>
  <si>
    <t>Long-term teaching or training assignments (in euro per day)</t>
  </si>
  <si>
    <t>between 5 day and 14th day of activity:
per day per participant</t>
  </si>
  <si>
    <t>Linguistic support - csak tanulóknak B.1.8</t>
  </si>
  <si>
    <t>Long-term teaching, training ... - Travel grant</t>
  </si>
  <si>
    <r>
      <t xml:space="preserve">between the 61th day of activity and up to 12 months: B1.7 </t>
    </r>
    <r>
      <rPr>
        <b/>
        <sz val="10"/>
        <color indexed="10"/>
        <rFont val="Arial"/>
        <family val="2"/>
        <charset val="238"/>
      </rPr>
      <t>per day per participant</t>
    </r>
  </si>
  <si>
    <r>
      <t xml:space="preserve">between the 15th and 60 th day of activity: B1.6
</t>
    </r>
    <r>
      <rPr>
        <b/>
        <sz val="10"/>
        <color indexed="10"/>
        <rFont val="Arial"/>
        <family val="2"/>
        <charset val="238"/>
      </rPr>
      <t>per day per participant</t>
    </r>
    <r>
      <rPr>
        <sz val="10"/>
        <rFont val="Arial"/>
        <family val="2"/>
        <charset val="238"/>
      </rPr>
      <t xml:space="preserve">
</t>
    </r>
  </si>
  <si>
    <t>Total grant requested:</t>
  </si>
  <si>
    <t>Total working days:</t>
  </si>
  <si>
    <t>Grant total - staff:</t>
  </si>
  <si>
    <t>Total management grant:</t>
  </si>
  <si>
    <t>Grant  requested</t>
  </si>
  <si>
    <t>TOTALS:</t>
  </si>
  <si>
    <t>Total of participants:</t>
  </si>
  <si>
    <t>Meeting Nr.</t>
  </si>
  <si>
    <t>Activity Nr.</t>
  </si>
  <si>
    <t>Coordinating organisation</t>
  </si>
  <si>
    <t>Totals:</t>
  </si>
  <si>
    <t>Short term activities for learners</t>
  </si>
  <si>
    <t>Linguistic Support</t>
  </si>
  <si>
    <t>Requested</t>
  </si>
  <si>
    <t>Subsistence Grant</t>
  </si>
  <si>
    <t>/participants</t>
  </si>
  <si>
    <t>Általános szabály</t>
  </si>
  <si>
    <t>A kategóriák és limitek csak ezen pályázattípusban benyújtott tervezeteknél érvényesek.</t>
  </si>
  <si>
    <t>Ha bármelyik munkalapon hiba maradt, akkor a tétel összesítésénél is hibaüzenet jelenik meg. A hibát a megfelelő munkalapon kell javítani!</t>
  </si>
  <si>
    <t>http://ec.europa.eu/programmes/erasmus-plus/tools/distance_en.htm</t>
  </si>
  <si>
    <t xml:space="preserve">A 'Partner meetings' és a 'Transnational training, teaching' munkalapokon a távolsági sávok meghatározására használja a távolság-kalkulátort: </t>
  </si>
  <si>
    <t xml:space="preserve">A támogatási igény bevitelét a 'Management' lap kitöltésével kell kezdeni. </t>
  </si>
  <si>
    <t>A piros szegélyű cellákat kell kitölteni: szöveg, szám vagy dátum.</t>
  </si>
  <si>
    <t>A partnerek adatai a pályázati űrlap szerinti sorszámot, és a partner székhelye szerinti országot jelentik. A sorszámot be kell írni, az oszágot kiválasztani a lenyíló listából.</t>
  </si>
  <si>
    <t>Ha ugyanabból az országból több intézmény tagja a partnerségnek, akkor a pályázati űrlap szerinti sorszám alapján azonosíthatók a partnerek.</t>
  </si>
  <si>
    <t>A menedzsment támogatási igényét az űrlap számolja, 10-nél több partner után a limit miatt nem igényelhető támogatás.</t>
  </si>
  <si>
    <t>Ha valamely tétel miatt a  támogatási igény meghaladná a limitet, akkor a táblázat hibát jelez.</t>
  </si>
  <si>
    <t xml:space="preserve">Az utolsó munkalapon ('Total grant requested') a támogatási igény összesítése látható, partnerenként és költségtételenként. </t>
  </si>
  <si>
    <t>Name of the project:</t>
  </si>
  <si>
    <t>[please complete the name of the project as in the application form]</t>
  </si>
  <si>
    <t>PROJECT TIMETABLE</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</si>
  <si>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</si>
  <si>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</si>
  <si>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</si>
  <si>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</si>
  <si>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</si>
  <si>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</si>
  <si>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</si>
  <si>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</si>
  <si>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</si>
  <si>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</si>
  <si>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</si>
  <si>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</si>
  <si>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</si>
  <si>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</si>
  <si>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</si>
  <si>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</si>
  <si>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</si>
  <si>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</si>
  <si>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</si>
  <si>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</si>
  <si>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</si>
  <si>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</si>
  <si>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</si>
  <si>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</si>
  <si>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</si>
  <si>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</si>
  <si>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</si>
  <si>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</si>
  <si>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</si>
  <si>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</si>
  <si>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</si>
  <si>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M32</t>
  </si>
  <si>
    <t>M33</t>
  </si>
  <si>
    <t>M34</t>
  </si>
  <si>
    <t>M35</t>
  </si>
  <si>
    <t>M36</t>
  </si>
  <si>
    <t>Project activity*</t>
  </si>
  <si>
    <t>Please insert rows as needed</t>
  </si>
  <si>
    <t>*Project activity types:</t>
  </si>
  <si>
    <r>
      <t>A</t>
    </r>
    <r>
      <rPr>
        <i/>
        <sz val="11"/>
        <color indexed="8"/>
        <rFont val="Calibri"/>
        <family val="2"/>
      </rPr>
      <t>n</t>
    </r>
  </si>
  <si>
    <t>- PROJECT MANAGEMENT AND IMPLEMENTATION ACTIVITIES</t>
  </si>
  <si>
    <r>
      <t>O</t>
    </r>
    <r>
      <rPr>
        <i/>
        <sz val="11"/>
        <color indexed="8"/>
        <rFont val="Calibri"/>
        <family val="2"/>
      </rPr>
      <t>n</t>
    </r>
    <r>
      <rPr>
        <sz val="10"/>
        <rFont val="Arial"/>
        <family val="2"/>
        <charset val="238"/>
      </rPr>
      <t>/A</t>
    </r>
    <r>
      <rPr>
        <i/>
        <sz val="11"/>
        <color indexed="8"/>
        <rFont val="Calibri"/>
        <family val="2"/>
      </rPr>
      <t>n</t>
    </r>
  </si>
  <si>
    <t>- INTELLECTUAL OUTPUTS/ACTIVITIES</t>
  </si>
  <si>
    <r>
      <t>M</t>
    </r>
    <r>
      <rPr>
        <i/>
        <sz val="11"/>
        <color indexed="8"/>
        <rFont val="Calibri"/>
        <family val="2"/>
      </rPr>
      <t>n</t>
    </r>
  </si>
  <si>
    <t>- TRANSNATIONAL PROJECT MEETINGS</t>
  </si>
  <si>
    <r>
      <t>E</t>
    </r>
    <r>
      <rPr>
        <i/>
        <sz val="11"/>
        <color indexed="8"/>
        <rFont val="Calibri"/>
        <family val="2"/>
      </rPr>
      <t>n</t>
    </r>
  </si>
  <si>
    <t>- MULTIPLIER EVENTS</t>
  </si>
  <si>
    <r>
      <t>C</t>
    </r>
    <r>
      <rPr>
        <i/>
        <sz val="11"/>
        <color indexed="8"/>
        <rFont val="Calibri"/>
        <family val="2"/>
      </rPr>
      <t>n</t>
    </r>
  </si>
  <si>
    <t>- LEARNING/TEACHING/TRAINING ACTIVITIES</t>
  </si>
  <si>
    <t>n</t>
  </si>
  <si>
    <t>- number of the activity</t>
  </si>
  <si>
    <t>Please enter all main project activities and meetings, intellectual outputs and related activities, multiplier events and training/teaching/learning activities. Use the reference numbers as they appear in the application form. Where no numbers exist in the application form (i.e. for activities included in project management and implementation), use reference numbers A1, A2 etc. For each activity, meeting or event, indicate the month(s) in which they will be produced/take place by colouring the corresponding cells.</t>
  </si>
  <si>
    <t>Az 'Overview' lap:</t>
  </si>
  <si>
    <t>2.</t>
  </si>
  <si>
    <t>A munkalap szerkeszthető, lehetőség van sorok beszúrására igény szerint.</t>
  </si>
  <si>
    <t xml:space="preserve">A további rövidítések a finanszírozási csomagokra utalnak: </t>
  </si>
  <si>
    <t>M1; M2 stb.: nemzetközi partnertalálkozók</t>
  </si>
  <si>
    <t>C1, C2 stb.: nemzetközi oktatási/tanulási tevékenység</t>
  </si>
  <si>
    <t>5.</t>
  </si>
  <si>
    <t>7.</t>
  </si>
  <si>
    <t>A B oszlopban a tevékenységeket kell felsorolni: a finanszírozási csomagok szerint azonosítható módon, sorszámmal ellátva az egyes tevékenységeket. A D-AA ill.D-AM oszlopokban pedig (a futamidő hosszától függően) színezéssel jelöljük a megvalósítás tervezett hónapját.</t>
  </si>
  <si>
    <t>Nr. of accompany-ing persons</t>
  </si>
  <si>
    <t>Nr. of participants</t>
  </si>
  <si>
    <t>/accompany-ing persons</t>
  </si>
  <si>
    <t>P. Nr.</t>
  </si>
  <si>
    <t>The meeting takes place in</t>
  </si>
  <si>
    <t>A dátum formátuma: éééé.hh(.nn): évet, hónapot (napot) kell beírni.</t>
  </si>
  <si>
    <t>A munkalapok minden kategóriában a bevitt adatok alapján, a pénzügyi szabályoknak megfelelően számolják a támogatási igényt.</t>
  </si>
  <si>
    <t>A további munkalapokon azoknak a partnereknek a sorszámát kell kiválasztani az A oszlopban, akiknek részéről támogatási igény felmerül.</t>
  </si>
  <si>
    <r>
      <rPr>
        <b/>
        <sz val="10"/>
        <rFont val="Avenir Light"/>
      </rPr>
      <t>8</t>
    </r>
    <r>
      <rPr>
        <sz val="11"/>
        <color indexed="8"/>
        <rFont val="Calibri"/>
        <family val="2"/>
        <charset val="238"/>
      </rPr>
      <t>.</t>
    </r>
  </si>
  <si>
    <t xml:space="preserve">A projekt menedzsment tevékenységeinek jele: A1, A2 stb. </t>
  </si>
  <si>
    <t>Estimated date (year and month)</t>
  </si>
  <si>
    <t>Nr. and description of intellectual output</t>
  </si>
  <si>
    <t>Az egyes munkalapok kitöltése:</t>
  </si>
  <si>
    <t>Transnational training, teaching and learning activities - GRANT REQUESTED</t>
  </si>
  <si>
    <t xml:space="preserve">Kisléptékű projektek esetén csak megfelelő indoklással igényelhető. A támogatási arány: 75%! </t>
  </si>
  <si>
    <t>months</t>
  </si>
  <si>
    <t>Duration (months)</t>
  </si>
  <si>
    <t>Project title/acronym</t>
  </si>
  <si>
    <t>Start of project</t>
  </si>
  <si>
    <t>End of project</t>
  </si>
  <si>
    <t xml:space="preserve">A világos sárga cellákban lenyíló listákat találunk, ezeket is ki kell tölteni. </t>
  </si>
  <si>
    <t>A barack színű cellák nem szerkeszthetők, képlet számolja az értéket (védett).</t>
  </si>
  <si>
    <r>
      <rPr>
        <sz val="10"/>
        <rFont val="Avenir Light"/>
      </rPr>
      <t xml:space="preserve">A megadott adatok alapján megjelenik a projekt záró dátuma. </t>
    </r>
    <r>
      <rPr>
        <b/>
        <i/>
        <sz val="10"/>
        <rFont val="Avenir Light"/>
      </rPr>
      <t>A következő lapokon ügyeljünk, hogy csak ezen időkereten belüli dátumokat használjunk!</t>
    </r>
  </si>
  <si>
    <t>A projekt futamideje alapján kiszámolja az adható támogatás felső határát.</t>
  </si>
  <si>
    <t>Target countries of activities are limited to the program countries participating in the partnership. </t>
  </si>
  <si>
    <t>In case of joint staff training: participants should involve at least two partners from different countries! </t>
  </si>
  <si>
    <t>Representatives of participating organisations are NOT included in the Nr of participants!</t>
  </si>
  <si>
    <t>575 EUR per participant per meeting</t>
  </si>
  <si>
    <t>760 EUR per participant per meeting</t>
  </si>
  <si>
    <t>Ezen a munkalapon kell feltünteni a projekt címét, a projekt tervezett futamidejét és kezdő dátumát (az Excel számára értelmezhető dátumként).</t>
  </si>
  <si>
    <t>Duration for participants</t>
  </si>
  <si>
    <t>Duration for accompany-ing persons</t>
  </si>
  <si>
    <t>Short-term joint staff training events</t>
  </si>
  <si>
    <t>kisérő</t>
  </si>
  <si>
    <t>B1.8</t>
  </si>
  <si>
    <t>Short-term exchanges of groups</t>
  </si>
  <si>
    <t>Long-term mobility of youth workers</t>
  </si>
  <si>
    <t>AE</t>
  </si>
  <si>
    <t>HE</t>
  </si>
  <si>
    <t>VET</t>
  </si>
  <si>
    <t>Youth</t>
  </si>
  <si>
    <t>B1.5-7</t>
  </si>
  <si>
    <t>Short-term blended mobility of school learners</t>
  </si>
  <si>
    <r>
      <t xml:space="preserve">B1.8 </t>
    </r>
    <r>
      <rPr>
        <b/>
        <sz val="10"/>
        <color indexed="10"/>
        <rFont val="Arial"/>
        <family val="2"/>
        <charset val="238"/>
      </rPr>
      <t>per month per participant</t>
    </r>
  </si>
  <si>
    <t>Long-term activities of pupils alapképzés, iskolai szakképzés</t>
  </si>
  <si>
    <t>Short-term intensive programmes for higher education learners</t>
  </si>
  <si>
    <t>Short-term intensive programmes for teaching staff</t>
  </si>
  <si>
    <t>Short-term invited teachers at higher education Intensive Study Programmes</t>
  </si>
  <si>
    <r>
      <rPr>
        <b/>
        <sz val="12"/>
        <rFont val="Arial Narrow"/>
        <family val="2"/>
        <charset val="238"/>
      </rPr>
      <t>Long-term teaching</t>
    </r>
    <r>
      <rPr>
        <sz val="12"/>
        <rFont val="Arial Narrow"/>
        <family val="2"/>
        <charset val="238"/>
      </rPr>
      <t xml:space="preserve"> or training assignments</t>
    </r>
  </si>
  <si>
    <r>
      <rPr>
        <b/>
        <sz val="12"/>
        <rFont val="Arial Narrow"/>
        <family val="2"/>
        <charset val="238"/>
      </rPr>
      <t>Short-term blended</t>
    </r>
    <r>
      <rPr>
        <sz val="12"/>
        <rFont val="Arial Narrow"/>
        <family val="2"/>
      </rPr>
      <t xml:space="preserve"> mobility of higher education students</t>
    </r>
  </si>
  <si>
    <r>
      <rPr>
        <b/>
        <sz val="12"/>
        <rFont val="Arial Narrow"/>
        <family val="2"/>
        <charset val="238"/>
      </rPr>
      <t>Short-term joint staff</t>
    </r>
    <r>
      <rPr>
        <sz val="12"/>
        <rFont val="Arial Narrow"/>
        <family val="2"/>
      </rPr>
      <t xml:space="preserve"> training events</t>
    </r>
  </si>
  <si>
    <r>
      <rPr>
        <b/>
        <sz val="12"/>
        <rFont val="Arial Narrow"/>
        <family val="2"/>
        <charset val="238"/>
      </rPr>
      <t>Long-term study</t>
    </r>
    <r>
      <rPr>
        <sz val="12"/>
        <rFont val="Arial Narrow"/>
        <family val="2"/>
      </rPr>
      <t xml:space="preserve"> mobility of pupils</t>
    </r>
  </si>
  <si>
    <t>Short-term activities for learners</t>
  </si>
  <si>
    <r>
      <rPr>
        <b/>
        <sz val="12"/>
        <rFont val="Arial Narrow"/>
        <family val="2"/>
        <charset val="238"/>
      </rPr>
      <t>Short-term blended</t>
    </r>
    <r>
      <rPr>
        <sz val="12"/>
        <rFont val="Arial Narrow"/>
        <family val="2"/>
      </rPr>
      <t xml:space="preserve"> mobility of VET learners</t>
    </r>
  </si>
  <si>
    <r>
      <rPr>
        <b/>
        <sz val="12"/>
        <rFont val="Arial Narrow"/>
        <family val="2"/>
        <charset val="238"/>
      </rPr>
      <t>Short-term blended</t>
    </r>
    <r>
      <rPr>
        <sz val="12"/>
        <rFont val="Arial Narrow"/>
        <family val="2"/>
      </rPr>
      <t xml:space="preserve"> mobility of young people</t>
    </r>
  </si>
  <si>
    <r>
      <rPr>
        <b/>
        <sz val="12"/>
        <rFont val="Arial Narrow"/>
        <family val="2"/>
        <charset val="238"/>
      </rPr>
      <t>Short-term blended</t>
    </r>
    <r>
      <rPr>
        <sz val="12"/>
        <rFont val="Arial Narrow"/>
        <family val="2"/>
      </rPr>
      <t xml:space="preserve"> mobility of adult learners</t>
    </r>
  </si>
  <si>
    <t>Rates</t>
  </si>
  <si>
    <t>Kizárólag szektorközi tervezet esetén kitöltendő!</t>
  </si>
  <si>
    <t>Felnőtt tanulási szektor</t>
  </si>
  <si>
    <t>Szakképzési szektor</t>
  </si>
  <si>
    <t>Köznevelési szektor</t>
  </si>
  <si>
    <t>Ifjúsági szektor</t>
  </si>
  <si>
    <t>Felsőoktatási szektor</t>
  </si>
  <si>
    <t>MONTHS:</t>
  </si>
  <si>
    <t>2. Researcher, teacher and/or trainer, youth worker</t>
  </si>
  <si>
    <r>
      <t xml:space="preserve">A fájl munkalapjainak színe az egyes pályázattípusokban tervezhető támogatási tételek szerint változik. 
</t>
    </r>
    <r>
      <rPr>
        <b/>
        <sz val="10"/>
        <color rgb="FF00B050"/>
        <rFont val="Avenir Light"/>
      </rPr>
      <t>A zölddel jelölt munkalapokon</t>
    </r>
    <r>
      <rPr>
        <sz val="10"/>
        <rFont val="Avenir Light"/>
      </rPr>
      <t xml:space="preserve"> minden stratégiai partnerségi projektek által egyaránt igényelhető támogatást lehet számolni (a pénzügy szabályok feltételei szerint): 
- mind a bevált gyakorlatok cseréjét, mind az innovációt támogató stratégiai partnerségekben: </t>
    </r>
    <r>
      <rPr>
        <b/>
        <sz val="10"/>
        <color rgb="FF00B050"/>
        <rFont val="Avenir Light"/>
      </rPr>
      <t>Management, Partner meetings</t>
    </r>
    <r>
      <rPr>
        <sz val="10"/>
        <rFont val="Avenir Light"/>
      </rPr>
      <t xml:space="preserve">; 
- különleges/indokolt esetben: </t>
    </r>
    <r>
      <rPr>
        <sz val="10"/>
        <color rgb="FF00B050"/>
        <rFont val="Avenir Light"/>
      </rPr>
      <t>Exceptional costs, Special needs</t>
    </r>
    <r>
      <rPr>
        <sz val="10"/>
        <rFont val="Avenir Light"/>
      </rPr>
      <t xml:space="preserve">; 
- illetve ha nemzetközi mobilitást terveznek akkor zöld füllel szerepel </t>
    </r>
    <r>
      <rPr>
        <sz val="10"/>
        <color rgb="FF00B050"/>
        <rFont val="Avenir Light"/>
      </rPr>
      <t>a szektornak megfelelő Transnational trainings, teachings ...</t>
    </r>
    <r>
      <rPr>
        <sz val="10"/>
        <rFont val="Avenir Light"/>
      </rPr>
      <t xml:space="preserve"> lap.
</t>
    </r>
    <r>
      <rPr>
        <b/>
        <sz val="10"/>
        <color rgb="FFFF0000"/>
        <rFont val="Avenir Light"/>
      </rPr>
      <t>A pirossal jelölt lapfüleken</t>
    </r>
    <r>
      <rPr>
        <sz val="10"/>
        <rFont val="Avenir Light"/>
      </rPr>
      <t xml:space="preserve"> olyan kategóriák szerepelnek, melyek feltételek teljesülése esetén igényelhetők:
- </t>
    </r>
    <r>
      <rPr>
        <b/>
        <sz val="10"/>
        <color rgb="FFFF0000"/>
        <rFont val="Avenir Light"/>
      </rPr>
      <t xml:space="preserve">kizárólag innovációt támogató </t>
    </r>
    <r>
      <rPr>
        <sz val="10"/>
        <rFont val="Avenir Light"/>
      </rPr>
      <t xml:space="preserve">stragétiai partnerségekben használható lapok: </t>
    </r>
    <r>
      <rPr>
        <b/>
        <sz val="10"/>
        <color rgb="FFFF0000"/>
        <rFont val="Avenir Light"/>
      </rPr>
      <t>Intellectual outputs; Multiplier events</t>
    </r>
    <r>
      <rPr>
        <sz val="10"/>
        <rFont val="Avenir Light"/>
      </rPr>
      <t xml:space="preserve">
- </t>
    </r>
    <r>
      <rPr>
        <b/>
        <sz val="10"/>
        <color rgb="FFFF0000"/>
        <rFont val="Avenir Light"/>
      </rPr>
      <t>kizárólag szektorközi pályázatok esetén</t>
    </r>
    <r>
      <rPr>
        <sz val="10"/>
        <rFont val="Avenir Light"/>
      </rPr>
      <t xml:space="preserve"> használható </t>
    </r>
    <r>
      <rPr>
        <b/>
        <sz val="10"/>
        <color rgb="FFFF0000"/>
        <rFont val="Avenir Light"/>
      </rPr>
      <t>a másodlagos szektor résztvevőinek nemzetközi mobilitásához</t>
    </r>
    <r>
      <rPr>
        <sz val="10"/>
        <rFont val="Avenir Light"/>
      </rPr>
      <t xml:space="preserve"> a pirossal jelölt </t>
    </r>
    <r>
      <rPr>
        <b/>
        <sz val="10"/>
        <color rgb="FFFF0000"/>
        <rFont val="Avenir Light"/>
      </rPr>
      <t>Transnational training. teachings ... lapok, melyekből AZ ÉRINTETT SZEKTOR rövidítésével kezdődő munkalap</t>
    </r>
    <r>
      <rPr>
        <sz val="10"/>
        <rFont val="Avenir Light"/>
      </rPr>
      <t>ot válasszák! A szektorokban eltérő mobilitási szabályok szerint csak így tudnak helyesen számolni!</t>
    </r>
  </si>
  <si>
    <t>Ahol egy sorban több piros szegélyű cellát találunk, ott mindegyiket ki kell tölteni: addig nem látszik a támogatási igény, amíg ez nincs meg.</t>
  </si>
  <si>
    <t xml:space="preserve">1.  </t>
  </si>
  <si>
    <t>Figyelmeztető üzenetet kapunk, ha a támogatási igény túllépné a limitet, vagy nem tartjuk be a 2016.09.01-2019.08.31. keretidőt.</t>
  </si>
  <si>
    <r>
      <t xml:space="preserve">A </t>
    </r>
    <r>
      <rPr>
        <b/>
        <sz val="10"/>
        <rFont val="Avenir Light"/>
        <charset val="238"/>
      </rPr>
      <t>'</t>
    </r>
    <r>
      <rPr>
        <b/>
        <i/>
        <sz val="10"/>
        <color indexed="10"/>
        <rFont val="Avenir Light"/>
      </rPr>
      <t>KA2_SP_TIMELINE_TEMPLATE</t>
    </r>
    <r>
      <rPr>
        <b/>
        <sz val="10"/>
        <rFont val="Avenir Light"/>
        <charset val="238"/>
      </rPr>
      <t>'</t>
    </r>
    <r>
      <rPr>
        <b/>
        <sz val="10"/>
        <rFont val="Avenir Light"/>
        <charset val="238"/>
      </rPr>
      <t xml:space="preserve">: </t>
    </r>
  </si>
  <si>
    <r>
      <t xml:space="preserve">Azonos az Európai Bizottság által kidolgozott, áttekintő táblázattal a tervezett tevékenységekről </t>
    </r>
    <r>
      <rPr>
        <sz val="10"/>
        <rFont val="Avenir Light"/>
        <charset val="238"/>
      </rPr>
      <t>(http://ec.europa.eu/programmes/erasmus-plus/documents/gantt-chart-template_en.xls)</t>
    </r>
    <r>
      <rPr>
        <b/>
        <sz val="10"/>
        <rFont val="Avenir Light"/>
      </rPr>
      <t>. A pályázat kötelező mellékletével azonos forma és tartalom.</t>
    </r>
  </si>
  <si>
    <t>Mivel ezek nem jelennek meg tételes felsorolásban a pályázati űrlapban, ezért itt kell lebontani, és szövegesen is megnevezni a tervezett menedzsment-tevékenységeket: sorszámmal ellátva felsorolni, és színezéssel jelölni, mely hónapra ütemezik.</t>
  </si>
  <si>
    <t>O1/A1, O1/A2 stb.: csak innovációt támogató projektek esetén: a tervezett szellemi terméket, és az egyes szellemit termékek kidolgozásához szükséges tevékenységeket jelölik amelyekre támogatást igényelnek</t>
  </si>
  <si>
    <t>E1, E2 stb.: multiplikációs rendezvények (csak innovációt támogató projektek esetén)</t>
  </si>
  <si>
    <t>A tevékenységek számozásának összhangban kell lenni a pályázati űrlap végleges számozásaival, ezért javasoljuk, hogy a projekttevezést és ütemezést a pályázati űrlap kategóriái szerint végezzék, és csak a végleges terv,  tevékenység-lebontás alapján töltsék ki mind a tevékenységek áttekintő táblázatát (KA2_SP_TIMELINE_TEMPLATE lap), mind a pályázati űrlapot.</t>
  </si>
  <si>
    <t xml:space="preserve">3. </t>
  </si>
  <si>
    <t>4.</t>
  </si>
  <si>
    <t>6.</t>
  </si>
  <si>
    <r>
      <rPr>
        <b/>
        <sz val="10"/>
        <rFont val="Avenir Light"/>
      </rPr>
      <t>A 'Partner meetings' lapon a találkozó helyét a házigazda partner kiválasztásával adjuk meg.</t>
    </r>
    <r>
      <rPr>
        <sz val="10"/>
        <rFont val="Avenir Light"/>
      </rPr>
      <t xml:space="preserve"> Ügyeljünk arra, hogy azonos sorszámú találkozó esetén azonos célhely legyen megadva, hogy a táblázat ne legyen ellentmondásos.</t>
    </r>
  </si>
  <si>
    <t>Ha szektorközi pályázatot terveznek, és a másodlagos szerktorban is terveznek nemzetközi mobilitást, akkor válasszák ki a szektornak megfelelő munkalapot és a hasonlóan töltsék ki.</t>
  </si>
  <si>
    <r>
      <t xml:space="preserve">Ez az Excel fájl az </t>
    </r>
    <r>
      <rPr>
        <b/>
        <shadow/>
        <u/>
        <sz val="12"/>
        <color indexed="10"/>
        <rFont val="Avenir Light"/>
      </rPr>
      <t>Eramus+ szakképzési stratégiai partnerségek (KA2 - AE)</t>
    </r>
    <r>
      <rPr>
        <b/>
        <sz val="12"/>
        <color indexed="10"/>
        <rFont val="Avenir Light"/>
      </rPr>
      <t xml:space="preserve"> pénzügyi szabályai alapján számolja a támogatási igényt, olyan felosztásban, amilyenben a pénzügyi részt a  pályázati űrlapban is ki kell tölteni. </t>
    </r>
  </si>
  <si>
    <r>
      <rPr>
        <b/>
        <sz val="10"/>
        <rFont val="Avenir Light"/>
        <charset val="238"/>
      </rPr>
      <t>A 'AE Transnational training, teaching' lap:</t>
    </r>
    <r>
      <rPr>
        <sz val="10"/>
        <rFont val="Avenir Light"/>
      </rPr>
      <t xml:space="preserve">
A hosszútávú tevékenységek időkerete: 2-12 hónap, a rövidtávú tevékenységek időtartama max. 60 nap lehet.
'Long-term teaching or training' tevékenységtípus esetén nyelvi támogatás is elszámolható indokolt esetben, így ennél a tevékenységtípusnál az ezt igénylők számát is megadhatjuk.
Ha a partnerség tagjai között van E+ partnerországban honos szervezet, akkor csakis "Joint staff training" tevékenységhez kapcsolódóan igényelhet támogatást.
A 'Blended mobility of adult learners' tevékenységtípus esetén kísérők költsége is elszámolható, így ennél a tevékenységtípusnál a kísérők számát is megadhatjuk.</t>
    </r>
  </si>
  <si>
    <t>SE Transnational training, teaching: közoktatási szektorban
VET Transnational training, teaching: szakképzési szektorban
HE Transnational training, teaching: felsőoktatási szektorban
Youth Transnational training, teaching: ifjúsági szektorban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</si>
</sst>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1]"/>
    <numFmt numFmtId="165" formatCode="yyyy/\ mmm/"/>
  </numFmts>
  <fonts count="62">
    <font>
      <sz val="10"/>
      <name val="Arial"/>
    </font>
    <font>
      <sz val="11"/>
      <color indexed="8"/>
      <name val="Calibri"/>
      <family val="2"/>
      <charset val="238"/>
    </font>
    <font>
      <b/>
      <sz val="10"/>
      <name val="Arial Narrow"/>
      <family val="2"/>
    </font>
    <font>
      <sz val="12"/>
      <name val="Arial Narrow"/>
      <family val="2"/>
    </font>
    <font>
      <sz val="10"/>
      <name val="Arial Narrow"/>
      <family val="2"/>
    </font>
    <font>
      <b/>
      <sz val="12"/>
      <name val="Arial Narrow"/>
      <family val="2"/>
    </font>
    <font>
      <u/>
      <sz val="10"/>
      <color indexed="12"/>
      <name val="Arial"/>
      <family val="2"/>
    </font>
    <font>
      <sz val="8"/>
      <name val="Arial"/>
      <family val="2"/>
    </font>
    <font>
      <u/>
      <sz val="10"/>
      <color indexed="12"/>
      <name val="Arial Narrow"/>
      <family val="2"/>
    </font>
    <font>
      <b/>
      <sz val="8"/>
      <name val="Arial Narrow"/>
      <family val="2"/>
    </font>
    <font>
      <b/>
      <sz val="10"/>
      <name val="Arial"/>
      <family val="2"/>
    </font>
    <font>
      <i/>
      <sz val="10"/>
      <name val="Arial"/>
      <family val="2"/>
    </font>
    <font>
      <sz val="12"/>
      <name val="Arial Narrow"/>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0"/>
      <name val="Calibri"/>
      <family val="2"/>
    </font>
    <font>
      <b/>
      <sz val="12"/>
      <color indexed="18"/>
      <name val="Arial Narrow"/>
      <family val="2"/>
    </font>
    <font>
      <sz val="11"/>
      <name val="Times New Roman"/>
      <family val="1"/>
    </font>
    <font>
      <b/>
      <sz val="12"/>
      <color indexed="53"/>
      <name val="Arial Narrow"/>
      <family val="2"/>
      <charset val="238"/>
    </font>
    <font>
      <sz val="10"/>
      <color indexed="10"/>
      <name val="Arial"/>
      <family val="2"/>
      <charset val="238"/>
    </font>
    <font>
      <b/>
      <sz val="10"/>
      <color indexed="10"/>
      <name val="Arial"/>
      <family val="2"/>
      <charset val="238"/>
    </font>
    <font>
      <b/>
      <sz val="12"/>
      <color indexed="10"/>
      <name val="Arial Narrow"/>
      <family val="2"/>
      <charset val="238"/>
    </font>
    <font>
      <b/>
      <sz val="10"/>
      <color indexed="10"/>
      <name val="Arial Narrow"/>
      <family val="2"/>
    </font>
    <font>
      <sz val="10"/>
      <color indexed="8"/>
      <name val="Arial Narrow"/>
      <family val="2"/>
      <charset val="238"/>
    </font>
    <font>
      <b/>
      <sz val="10"/>
      <color indexed="8"/>
      <name val="Arial Narrow"/>
      <family val="2"/>
      <charset val="238"/>
    </font>
    <font>
      <sz val="10"/>
      <name val="Arial"/>
      <family val="2"/>
      <charset val="238"/>
    </font>
    <font>
      <sz val="12"/>
      <name val="Arial Narrow"/>
      <family val="2"/>
      <charset val="238"/>
    </font>
    <font>
      <sz val="12"/>
      <color indexed="8"/>
      <name val="Arial Narrow"/>
      <family val="2"/>
      <charset val="238"/>
    </font>
    <font>
      <b/>
      <sz val="10"/>
      <name val="Arial"/>
      <family val="2"/>
      <charset val="238"/>
    </font>
    <font>
      <b/>
      <sz val="12"/>
      <name val="Arial Narrow"/>
      <family val="2"/>
      <charset val="238"/>
    </font>
    <font>
      <sz val="10"/>
      <name val="Arial Narrow"/>
      <family val="2"/>
      <charset val="238"/>
    </font>
    <font>
      <b/>
      <sz val="10"/>
      <name val="Arial Narrow"/>
      <family val="2"/>
      <charset val="238"/>
    </font>
    <font>
      <sz val="10"/>
      <color indexed="8"/>
      <name val="Arial"/>
      <family val="2"/>
      <charset val="238"/>
    </font>
    <font>
      <sz val="10"/>
      <color indexed="8"/>
      <name val="Arial Narrow"/>
      <family val="2"/>
    </font>
    <font>
      <u/>
      <sz val="10"/>
      <color indexed="12"/>
      <name val="Arial"/>
      <family val="2"/>
      <charset val="238"/>
    </font>
    <font>
      <b/>
      <sz val="12"/>
      <color indexed="10"/>
      <name val="Avenir Light"/>
    </font>
    <font>
      <b/>
      <shadow/>
      <u/>
      <sz val="12"/>
      <color indexed="10"/>
      <name val="Avenir Light"/>
    </font>
    <font>
      <sz val="10"/>
      <name val="Avenir Light"/>
    </font>
    <font>
      <b/>
      <sz val="10"/>
      <name val="Avenir Light"/>
    </font>
    <font>
      <b/>
      <i/>
      <sz val="10"/>
      <name val="Avenir Light"/>
    </font>
    <font>
      <u/>
      <sz val="10"/>
      <color indexed="12"/>
      <name val="Avenir Light"/>
    </font>
    <font>
      <b/>
      <sz val="11"/>
      <color indexed="8"/>
      <name val="Calibri"/>
      <family val="2"/>
    </font>
    <font>
      <sz val="11"/>
      <color indexed="10"/>
      <name val="Calibri"/>
      <family val="2"/>
    </font>
    <font>
      <i/>
      <sz val="11"/>
      <color indexed="8"/>
      <name val="Calibri"/>
      <family val="2"/>
    </font>
    <font>
      <sz val="11"/>
      <color indexed="8"/>
      <name val="Calibri"/>
      <family val="2"/>
    </font>
    <font>
      <b/>
      <i/>
      <sz val="10"/>
      <color indexed="10"/>
      <name val="Avenir Light"/>
    </font>
    <font>
      <u/>
      <sz val="10"/>
      <name val="Avenir Light"/>
    </font>
    <font>
      <sz val="10"/>
      <name val="Arial"/>
      <family val="2"/>
    </font>
    <font>
      <sz val="11"/>
      <color theme="1"/>
      <name val="Calibri"/>
      <family val="2"/>
      <scheme val="minor"/>
    </font>
    <font>
      <b/>
      <sz val="10"/>
      <color rgb="FFFF0000"/>
      <name val="Arial Narrow"/>
      <family val="2"/>
      <charset val="238"/>
    </font>
    <font>
      <b/>
      <sz val="10"/>
      <color rgb="FFFF0000"/>
      <name val="Arial Narrow"/>
      <family val="2"/>
    </font>
    <font>
      <sz val="8"/>
      <color indexed="81"/>
      <name val="Tahoma"/>
      <family val="2"/>
      <charset val="238"/>
    </font>
    <font>
      <b/>
      <sz val="12"/>
      <color rgb="FFFF0000"/>
      <name val="Arial Narrow"/>
      <family val="2"/>
    </font>
    <font>
      <b/>
      <sz val="10"/>
      <color rgb="FF00B050"/>
      <name val="Avenir Light"/>
    </font>
    <font>
      <sz val="10"/>
      <color rgb="FF00B050"/>
      <name val="Avenir Light"/>
    </font>
    <font>
      <b/>
      <sz val="10"/>
      <color rgb="FFFF0000"/>
      <name val="Avenir Light"/>
    </font>
    <font>
      <b/>
      <sz val="10"/>
      <name val="Avenir Light"/>
      <charset val="238"/>
    </font>
    <font>
      <sz val="10"/>
      <name val="Avenir Light"/>
      <charset val="238"/>
    </font>
  </fonts>
  <fills count="29">
    <fill>
      <patternFill patternType="none"/>
    </fill>
    <fill>
      <patternFill patternType="gray125"/>
    </fill>
    <fill>
      <patternFill patternType="solid">
        <fgColor indexed="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22"/>
        <bgColor indexed="8"/>
      </patternFill>
    </fill>
    <fill>
      <patternFill patternType="solid">
        <fgColor indexed="43"/>
        <bgColor indexed="64"/>
      </patternFill>
    </fill>
    <fill>
      <patternFill patternType="solid">
        <fgColor indexed="47"/>
        <bgColor indexed="64"/>
      </patternFill>
    </fill>
    <fill>
      <patternFill patternType="solid">
        <fgColor indexed="9"/>
        <bgColor indexed="64"/>
      </patternFill>
    </fill>
    <fill>
      <patternFill patternType="solid">
        <fgColor indexed="47"/>
        <bgColor indexed="8"/>
      </patternFill>
    </fill>
    <fill>
      <patternFill patternType="solid">
        <fgColor indexed="8"/>
        <bgColor indexed="64"/>
      </patternFill>
    </fill>
    <fill>
      <patternFill patternType="solid">
        <fgColor indexed="34"/>
        <bgColor indexed="64"/>
      </patternFill>
    </fill>
    <fill>
      <patternFill patternType="solid">
        <fgColor rgb="FFFFCC99"/>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59999389629810485"/>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10"/>
      </top>
      <bottom style="thin">
        <color indexed="10"/>
      </bottom>
      <diagonal/>
    </border>
    <border>
      <left style="medium">
        <color indexed="64"/>
      </left>
      <right style="medium">
        <color indexed="64"/>
      </right>
      <top style="thin">
        <color indexed="10"/>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10"/>
      </bottom>
      <diagonal/>
    </border>
    <border>
      <left style="medium">
        <color indexed="64"/>
      </left>
      <right/>
      <top style="thin">
        <color indexed="10"/>
      </top>
      <bottom style="thin">
        <color indexed="10"/>
      </bottom>
      <diagonal/>
    </border>
    <border>
      <left style="medium">
        <color indexed="64"/>
      </left>
      <right/>
      <top style="thin">
        <color indexed="10"/>
      </top>
      <bottom style="medium">
        <color indexed="64"/>
      </bottom>
      <diagonal/>
    </border>
    <border>
      <left style="thin">
        <color indexed="9"/>
      </left>
      <right style="thin">
        <color indexed="9"/>
      </right>
      <top style="thin">
        <color indexed="9"/>
      </top>
      <bottom style="thin">
        <color indexed="9"/>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10"/>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10"/>
      </bottom>
      <diagonal/>
    </border>
    <border>
      <left style="medium">
        <color indexed="64"/>
      </left>
      <right style="thin">
        <color indexed="64"/>
      </right>
      <top style="thin">
        <color indexed="10"/>
      </top>
      <bottom style="thin">
        <color indexed="10"/>
      </bottom>
      <diagonal/>
    </border>
    <border>
      <left style="thin">
        <color indexed="64"/>
      </left>
      <right style="thin">
        <color indexed="64"/>
      </right>
      <top style="thin">
        <color indexed="10"/>
      </top>
      <bottom style="thin">
        <color indexed="10"/>
      </bottom>
      <diagonal/>
    </border>
    <border>
      <left style="medium">
        <color indexed="64"/>
      </left>
      <right style="thin">
        <color indexed="64"/>
      </right>
      <top style="thin">
        <color indexed="10"/>
      </top>
      <bottom style="medium">
        <color indexed="64"/>
      </bottom>
      <diagonal/>
    </border>
    <border>
      <left style="thin">
        <color indexed="64"/>
      </left>
      <right style="thin">
        <color indexed="64"/>
      </right>
      <top style="thin">
        <color indexed="10"/>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10"/>
      </right>
      <top style="medium">
        <color indexed="64"/>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5">
    <xf numFmtId="0" fontId="0"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4" borderId="0" applyNumberFormat="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2" borderId="1" applyNumberFormat="0" applyAlignment="0" applyProtection="0"/>
    <xf numFmtId="0" fontId="16" fillId="10" borderId="2" applyNumberFormat="0" applyAlignment="0" applyProtection="0"/>
    <xf numFmtId="0" fontId="17" fillId="0" borderId="0" applyNumberFormat="0" applyFill="0" applyBorder="0" applyAlignment="0" applyProtection="0"/>
    <xf numFmtId="0" fontId="18" fillId="11" borderId="0" applyNumberFormat="0" applyBorder="0" applyAlignment="0" applyProtection="0"/>
    <xf numFmtId="0" fontId="6" fillId="0" borderId="0" applyNumberFormat="0" applyFill="0" applyBorder="0" applyAlignment="0" applyProtection="0">
      <alignment vertical="top"/>
      <protection locked="0"/>
    </xf>
    <xf numFmtId="0" fontId="19" fillId="3" borderId="0" applyNumberFormat="0" applyBorder="0" applyAlignment="0" applyProtection="0"/>
    <xf numFmtId="0" fontId="52" fillId="0" borderId="0"/>
  </cellStyleXfs>
  <cellXfs count="575">
    <xf numFmtId="0" fontId="0" fillId="0" borderId="0" xfId="0"/>
    <xf numFmtId="0" fontId="12" fillId="0" borderId="0" xfId="0" applyFont="1" applyAlignment="1">
      <alignment horizontal="center" vertical="center"/>
    </xf>
    <xf numFmtId="0" fontId="12" fillId="0" borderId="0" xfId="0" applyFont="1" applyAlignment="1">
      <alignment vertical="center" wrapText="1"/>
    </xf>
    <xf numFmtId="49" fontId="3" fillId="0" borderId="8" xfId="0" applyNumberFormat="1" applyFont="1" applyBorder="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30" fillId="0" borderId="21" xfId="0" applyFont="1" applyBorder="1" applyAlignment="1">
      <alignment vertical="center" wrapText="1"/>
    </xf>
    <xf numFmtId="0" fontId="31" fillId="0" borderId="21" xfId="0" applyFont="1" applyBorder="1" applyAlignment="1">
      <alignment vertical="center" wrapText="1"/>
    </xf>
    <xf numFmtId="0" fontId="31" fillId="0" borderId="22" xfId="0" applyFont="1" applyBorder="1" applyAlignment="1">
      <alignment vertical="center" wrapText="1"/>
    </xf>
    <xf numFmtId="0" fontId="3" fillId="0" borderId="0" xfId="0" applyFont="1" applyAlignment="1">
      <alignment vertical="center"/>
    </xf>
    <xf numFmtId="3" fontId="3" fillId="0" borderId="6" xfId="0" applyNumberFormat="1"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49" fontId="3" fillId="0" borderId="23" xfId="0" applyNumberFormat="1" applyFont="1" applyBorder="1" applyAlignment="1">
      <alignment horizontal="center" vertical="center"/>
    </xf>
    <xf numFmtId="3" fontId="3" fillId="0" borderId="24" xfId="0" applyNumberFormat="1"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3" fillId="0" borderId="0" xfId="0" applyFont="1" applyAlignment="1">
      <alignment vertical="center"/>
    </xf>
    <xf numFmtId="49" fontId="3" fillId="0" borderId="8" xfId="0" applyNumberFormat="1" applyFont="1" applyBorder="1" applyAlignment="1">
      <alignment horizontal="center" vertical="center" wrapText="1"/>
    </xf>
    <xf numFmtId="0" fontId="11" fillId="0" borderId="0" xfId="0" applyFont="1" applyAlignment="1" applyProtection="1">
      <alignment vertical="center"/>
      <protection hidden="1"/>
    </xf>
    <xf numFmtId="0" fontId="0" fillId="0" borderId="0" xfId="0" applyProtection="1">
      <protection hidden="1"/>
    </xf>
    <xf numFmtId="0" fontId="10" fillId="0" borderId="0" xfId="0" applyFont="1" applyBorder="1" applyAlignment="1" applyProtection="1">
      <alignment vertical="center"/>
      <protection hidden="1"/>
    </xf>
    <xf numFmtId="0" fontId="32" fillId="0" borderId="27" xfId="0" applyFont="1" applyFill="1" applyBorder="1" applyAlignment="1" applyProtection="1">
      <alignment horizontal="left"/>
      <protection locked="0"/>
    </xf>
    <xf numFmtId="0" fontId="32" fillId="0" borderId="28" xfId="0" applyFont="1" applyFill="1" applyBorder="1" applyAlignment="1" applyProtection="1">
      <alignment horizontal="left"/>
      <protection locked="0"/>
    </xf>
    <xf numFmtId="0" fontId="4" fillId="0" borderId="0" xfId="0" applyFont="1" applyFill="1" applyBorder="1" applyProtection="1">
      <protection hidden="1"/>
    </xf>
    <xf numFmtId="0" fontId="4" fillId="0" borderId="0" xfId="0" applyFont="1" applyFill="1" applyBorder="1" applyAlignment="1" applyProtection="1">
      <alignment horizontal="left"/>
      <protection hidden="1"/>
    </xf>
    <xf numFmtId="0" fontId="29" fillId="12" borderId="29" xfId="0" applyFont="1" applyFill="1" applyBorder="1" applyAlignment="1" applyProtection="1">
      <protection hidden="1"/>
    </xf>
    <xf numFmtId="3" fontId="32" fillId="13" borderId="29" xfId="0" applyNumberFormat="1" applyFont="1" applyFill="1" applyBorder="1" applyAlignment="1" applyProtection="1">
      <alignment vertical="center"/>
      <protection hidden="1"/>
    </xf>
    <xf numFmtId="3" fontId="24" fillId="0" borderId="0" xfId="0" applyNumberFormat="1" applyFont="1" applyAlignment="1" applyProtection="1">
      <alignment vertical="center"/>
      <protection hidden="1"/>
    </xf>
    <xf numFmtId="0" fontId="29" fillId="0" borderId="0" xfId="0" applyFont="1" applyProtection="1">
      <protection hidden="1"/>
    </xf>
    <xf numFmtId="0" fontId="29" fillId="14" borderId="12" xfId="0" applyFont="1" applyFill="1" applyBorder="1" applyAlignment="1" applyProtection="1">
      <alignment vertical="top" wrapText="1"/>
      <protection locked="0" hidden="1"/>
    </xf>
    <xf numFmtId="0" fontId="29" fillId="14" borderId="9" xfId="0" applyFont="1" applyFill="1" applyBorder="1" applyAlignment="1" applyProtection="1">
      <alignment vertical="top" wrapText="1"/>
      <protection locked="0" hidden="1"/>
    </xf>
    <xf numFmtId="0" fontId="29" fillId="14" borderId="10" xfId="0" applyFont="1" applyFill="1" applyBorder="1" applyAlignment="1" applyProtection="1">
      <alignment vertical="top" wrapText="1"/>
      <protection locked="0" hidden="1"/>
    </xf>
    <xf numFmtId="0" fontId="8" fillId="0" borderId="0" xfId="12" applyFont="1" applyFill="1" applyBorder="1" applyAlignment="1" applyProtection="1">
      <alignment horizontal="left"/>
      <protection hidden="1"/>
    </xf>
    <xf numFmtId="0" fontId="4" fillId="0" borderId="0" xfId="0" applyFont="1" applyFill="1" applyBorder="1" applyAlignment="1" applyProtection="1">
      <protection hidden="1"/>
    </xf>
    <xf numFmtId="3" fontId="29" fillId="15" borderId="13" xfId="0" applyNumberFormat="1" applyFont="1" applyFill="1" applyBorder="1" applyProtection="1">
      <protection hidden="1"/>
    </xf>
    <xf numFmtId="3" fontId="29" fillId="15" borderId="4" xfId="0" applyNumberFormat="1" applyFont="1" applyFill="1" applyBorder="1" applyProtection="1">
      <protection hidden="1"/>
    </xf>
    <xf numFmtId="3" fontId="29" fillId="15" borderId="3" xfId="0" applyNumberFormat="1" applyFont="1" applyFill="1" applyBorder="1" applyProtection="1">
      <protection hidden="1"/>
    </xf>
    <xf numFmtId="49" fontId="29" fillId="16" borderId="30" xfId="0" applyNumberFormat="1" applyFont="1" applyFill="1" applyBorder="1" applyAlignment="1" applyProtection="1">
      <alignment horizontal="center" vertical="center"/>
      <protection locked="0"/>
    </xf>
    <xf numFmtId="0" fontId="29" fillId="16" borderId="30" xfId="0" applyNumberFormat="1" applyFont="1" applyFill="1" applyBorder="1" applyAlignment="1" applyProtection="1">
      <alignment horizontal="center" vertical="center"/>
      <protection locked="0"/>
    </xf>
    <xf numFmtId="49" fontId="29" fillId="16" borderId="27" xfId="0" applyNumberFormat="1" applyFont="1" applyFill="1" applyBorder="1" applyAlignment="1" applyProtection="1">
      <alignment horizontal="center" vertical="center"/>
      <protection locked="0"/>
    </xf>
    <xf numFmtId="49" fontId="29" fillId="16" borderId="27" xfId="0" applyNumberFormat="1" applyFont="1" applyFill="1" applyBorder="1" applyProtection="1">
      <protection locked="0"/>
    </xf>
    <xf numFmtId="0" fontId="29" fillId="16" borderId="27" xfId="0" applyNumberFormat="1" applyFont="1" applyFill="1" applyBorder="1" applyAlignment="1" applyProtection="1">
      <alignment horizontal="center" vertical="center"/>
      <protection locked="0"/>
    </xf>
    <xf numFmtId="49" fontId="23" fillId="16" borderId="27" xfId="0" applyNumberFormat="1" applyFont="1" applyFill="1" applyBorder="1" applyProtection="1">
      <protection locked="0"/>
    </xf>
    <xf numFmtId="49" fontId="29" fillId="16" borderId="28" xfId="0" applyNumberFormat="1" applyFont="1" applyFill="1" applyBorder="1" applyAlignment="1" applyProtection="1">
      <alignment horizontal="center" vertical="center"/>
      <protection locked="0"/>
    </xf>
    <xf numFmtId="49" fontId="29" fillId="16" borderId="28" xfId="0" applyNumberFormat="1" applyFont="1" applyFill="1" applyBorder="1" applyProtection="1">
      <protection locked="0"/>
    </xf>
    <xf numFmtId="0" fontId="29" fillId="16" borderId="28" xfId="0" applyNumberFormat="1" applyFont="1" applyFill="1" applyBorder="1" applyAlignment="1" applyProtection="1">
      <alignment horizontal="center" vertical="center"/>
      <protection locked="0"/>
    </xf>
    <xf numFmtId="0" fontId="32" fillId="15" borderId="31" xfId="0" applyNumberFormat="1" applyFont="1" applyFill="1" applyBorder="1" applyAlignment="1" applyProtection="1">
      <alignment vertical="center" wrapText="1"/>
      <protection hidden="1"/>
    </xf>
    <xf numFmtId="0" fontId="32" fillId="14" borderId="20" xfId="0" applyFont="1" applyFill="1" applyBorder="1" applyAlignment="1" applyProtection="1">
      <alignment horizontal="left"/>
      <protection locked="0" hidden="1"/>
    </xf>
    <xf numFmtId="0" fontId="29" fillId="15" borderId="20" xfId="0" applyFont="1" applyFill="1" applyBorder="1" applyProtection="1">
      <protection hidden="1"/>
    </xf>
    <xf numFmtId="49" fontId="29" fillId="14" borderId="20" xfId="0" applyNumberFormat="1" applyFont="1" applyFill="1" applyBorder="1" applyProtection="1">
      <protection locked="0" hidden="1"/>
    </xf>
    <xf numFmtId="0" fontId="32" fillId="14" borderId="21" xfId="0" applyFont="1" applyFill="1" applyBorder="1" applyAlignment="1" applyProtection="1">
      <alignment horizontal="left"/>
      <protection locked="0" hidden="1"/>
    </xf>
    <xf numFmtId="0" fontId="29" fillId="15" borderId="21" xfId="0" applyFont="1" applyFill="1" applyBorder="1" applyProtection="1">
      <protection hidden="1"/>
    </xf>
    <xf numFmtId="49" fontId="29" fillId="14" borderId="21" xfId="0" applyNumberFormat="1" applyFont="1" applyFill="1" applyBorder="1" applyProtection="1">
      <protection locked="0" hidden="1"/>
    </xf>
    <xf numFmtId="0" fontId="32" fillId="14" borderId="22" xfId="0" applyFont="1" applyFill="1" applyBorder="1" applyAlignment="1" applyProtection="1">
      <alignment horizontal="left"/>
      <protection locked="0" hidden="1"/>
    </xf>
    <xf numFmtId="0" fontId="29" fillId="15" borderId="22" xfId="0" applyFont="1" applyFill="1" applyBorder="1" applyProtection="1">
      <protection hidden="1"/>
    </xf>
    <xf numFmtId="49" fontId="29" fillId="14" borderId="22" xfId="0" applyNumberFormat="1" applyFont="1" applyFill="1" applyBorder="1" applyProtection="1">
      <protection locked="0" hidden="1"/>
    </xf>
    <xf numFmtId="0" fontId="38" fillId="0" borderId="0" xfId="12" applyFont="1" applyFill="1" applyBorder="1" applyAlignment="1" applyProtection="1">
      <alignment horizontal="left"/>
      <protection hidden="1"/>
    </xf>
    <xf numFmtId="0" fontId="29" fillId="0" borderId="0" xfId="0" applyFont="1" applyFill="1" applyBorder="1" applyAlignment="1" applyProtection="1">
      <protection hidden="1"/>
    </xf>
    <xf numFmtId="0" fontId="29" fillId="0" borderId="0" xfId="0" applyFont="1" applyFill="1" applyBorder="1" applyAlignment="1" applyProtection="1">
      <alignment horizontal="center" vertical="center"/>
      <protection hidden="1"/>
    </xf>
    <xf numFmtId="1" fontId="29" fillId="0" borderId="0" xfId="0" applyNumberFormat="1" applyFont="1" applyFill="1" applyBorder="1" applyAlignment="1" applyProtection="1">
      <alignment horizontal="center" vertical="center"/>
      <protection hidden="1"/>
    </xf>
    <xf numFmtId="0" fontId="29" fillId="0" borderId="0" xfId="0" applyNumberFormat="1" applyFont="1" applyFill="1" applyBorder="1" applyAlignment="1" applyProtection="1">
      <alignment horizontal="center" vertical="center"/>
      <protection hidden="1"/>
    </xf>
    <xf numFmtId="49" fontId="29" fillId="0" borderId="0" xfId="0" applyNumberFormat="1" applyFont="1" applyFill="1" applyBorder="1" applyAlignment="1" applyProtection="1">
      <protection hidden="1"/>
    </xf>
    <xf numFmtId="0" fontId="29" fillId="0" borderId="0" xfId="0" applyFont="1" applyFill="1" applyBorder="1" applyAlignment="1" applyProtection="1">
      <alignment horizontal="left"/>
      <protection hidden="1"/>
    </xf>
    <xf numFmtId="0" fontId="27"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28" fillId="0" borderId="0" xfId="0" applyFont="1" applyAlignment="1" applyProtection="1">
      <alignment horizontal="center"/>
      <protection hidden="1"/>
    </xf>
    <xf numFmtId="0" fontId="2" fillId="0" borderId="0" xfId="0" applyFont="1" applyAlignment="1" applyProtection="1">
      <alignment horizontal="center"/>
      <protection hidden="1"/>
    </xf>
    <xf numFmtId="0" fontId="32" fillId="15" borderId="15" xfId="0" applyNumberFormat="1" applyFont="1" applyFill="1" applyBorder="1" applyAlignment="1" applyProtection="1">
      <alignment vertical="center" wrapText="1"/>
      <protection hidden="1"/>
    </xf>
    <xf numFmtId="0" fontId="32" fillId="15" borderId="14" xfId="0" applyNumberFormat="1" applyFont="1" applyFill="1" applyBorder="1" applyAlignment="1" applyProtection="1">
      <alignment vertical="center" wrapText="1"/>
      <protection hidden="1"/>
    </xf>
    <xf numFmtId="0" fontId="26" fillId="0" borderId="0" xfId="0" applyFont="1" applyAlignment="1" applyProtection="1">
      <alignment vertical="center" wrapText="1"/>
      <protection hidden="1"/>
    </xf>
    <xf numFmtId="0" fontId="29" fillId="15" borderId="15" xfId="0" applyFont="1" applyFill="1" applyBorder="1" applyProtection="1">
      <protection hidden="1"/>
    </xf>
    <xf numFmtId="0" fontId="29" fillId="15" borderId="16" xfId="0" applyFont="1" applyFill="1" applyBorder="1" applyProtection="1">
      <protection hidden="1"/>
    </xf>
    <xf numFmtId="0" fontId="36" fillId="0" borderId="0" xfId="0" applyFont="1" applyProtection="1">
      <protection hidden="1"/>
    </xf>
    <xf numFmtId="0" fontId="29" fillId="15" borderId="17" xfId="0" applyFont="1" applyFill="1" applyBorder="1" applyProtection="1">
      <protection hidden="1"/>
    </xf>
    <xf numFmtId="3" fontId="29" fillId="0" borderId="0" xfId="0" applyNumberFormat="1" applyFont="1" applyFill="1" applyBorder="1" applyAlignment="1" applyProtection="1">
      <alignment horizontal="center" vertical="center"/>
      <protection hidden="1"/>
    </xf>
    <xf numFmtId="0" fontId="29" fillId="0" borderId="0" xfId="0" applyNumberFormat="1" applyFont="1" applyFill="1" applyBorder="1" applyAlignment="1" applyProtection="1">
      <alignment vertical="center"/>
      <protection hidden="1"/>
    </xf>
    <xf numFmtId="3" fontId="29" fillId="16" borderId="30" xfId="0" applyNumberFormat="1" applyFont="1" applyFill="1" applyBorder="1" applyAlignment="1" applyProtection="1">
      <alignment horizontal="center" vertical="center"/>
      <protection locked="0"/>
    </xf>
    <xf numFmtId="0" fontId="29" fillId="16" borderId="30" xfId="0" applyNumberFormat="1" applyFont="1" applyFill="1" applyBorder="1" applyAlignment="1" applyProtection="1">
      <alignment vertical="center"/>
      <protection locked="0"/>
    </xf>
    <xf numFmtId="3" fontId="29" fillId="16" borderId="27" xfId="0" applyNumberFormat="1" applyFont="1" applyFill="1" applyBorder="1" applyAlignment="1" applyProtection="1">
      <alignment horizontal="center" vertical="center"/>
      <protection locked="0"/>
    </xf>
    <xf numFmtId="0" fontId="29" fillId="16" borderId="27" xfId="0" applyNumberFormat="1" applyFont="1" applyFill="1" applyBorder="1" applyAlignment="1" applyProtection="1">
      <alignment vertical="center"/>
      <protection locked="0"/>
    </xf>
    <xf numFmtId="3" fontId="29" fillId="16" borderId="28" xfId="0" applyNumberFormat="1" applyFont="1" applyFill="1" applyBorder="1" applyAlignment="1" applyProtection="1">
      <alignment horizontal="center" vertical="center"/>
      <protection locked="0"/>
    </xf>
    <xf numFmtId="0" fontId="29" fillId="16" borderId="28" xfId="0" applyNumberFormat="1" applyFont="1" applyFill="1" applyBorder="1" applyAlignment="1" applyProtection="1">
      <alignment vertical="center"/>
      <protection locked="0"/>
    </xf>
    <xf numFmtId="0" fontId="2" fillId="0" borderId="0" xfId="0" applyFont="1" applyProtection="1">
      <protection hidden="1"/>
    </xf>
    <xf numFmtId="0" fontId="26" fillId="0" borderId="33" xfId="0" applyFont="1" applyBorder="1" applyAlignment="1" applyProtection="1">
      <alignment vertical="center"/>
      <protection hidden="1"/>
    </xf>
    <xf numFmtId="0" fontId="5" fillId="0" borderId="0" xfId="0" applyFont="1" applyProtection="1">
      <protection hidden="1"/>
    </xf>
    <xf numFmtId="0" fontId="3" fillId="0" borderId="0" xfId="0" applyFont="1" applyProtection="1">
      <protection hidden="1"/>
    </xf>
    <xf numFmtId="0" fontId="5" fillId="0" borderId="0" xfId="0" applyFont="1" applyAlignment="1" applyProtection="1">
      <alignment horizontal="center"/>
      <protection hidden="1"/>
    </xf>
    <xf numFmtId="0" fontId="24" fillId="0" borderId="0" xfId="0" applyFont="1" applyProtection="1">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9" fillId="0" borderId="0" xfId="0" applyFont="1" applyAlignment="1" applyProtection="1">
      <alignment vertical="center"/>
      <protection hidden="1"/>
    </xf>
    <xf numFmtId="0" fontId="29" fillId="15" borderId="15" xfId="0" applyFont="1" applyFill="1" applyBorder="1" applyAlignment="1" applyProtection="1">
      <alignment vertical="center"/>
      <protection hidden="1"/>
    </xf>
    <xf numFmtId="0" fontId="29" fillId="15" borderId="16" xfId="0" applyFont="1" applyFill="1" applyBorder="1" applyAlignment="1" applyProtection="1">
      <alignment vertical="center"/>
      <protection hidden="1"/>
    </xf>
    <xf numFmtId="0" fontId="29" fillId="15" borderId="22" xfId="0" applyFont="1" applyFill="1" applyBorder="1" applyAlignment="1" applyProtection="1">
      <alignment vertical="center"/>
      <protection hidden="1"/>
    </xf>
    <xf numFmtId="0" fontId="29" fillId="0" borderId="0" xfId="0" applyFont="1" applyFill="1" applyBorder="1" applyAlignment="1" applyProtection="1">
      <alignment horizontal="left" vertical="center"/>
      <protection hidden="1"/>
    </xf>
    <xf numFmtId="0" fontId="29" fillId="0" borderId="0" xfId="0" applyFont="1" applyFill="1" applyBorder="1" applyAlignment="1" applyProtection="1">
      <alignment vertical="center"/>
      <protection hidden="1"/>
    </xf>
    <xf numFmtId="3" fontId="29" fillId="0" borderId="0" xfId="0" applyNumberFormat="1" applyFont="1" applyFill="1" applyBorder="1" applyAlignment="1" applyProtection="1">
      <alignment vertical="center"/>
      <protection hidden="1"/>
    </xf>
    <xf numFmtId="49" fontId="29" fillId="0" borderId="0" xfId="0" applyNumberFormat="1" applyFont="1" applyFill="1" applyBorder="1" applyAlignment="1" applyProtection="1">
      <alignment vertical="center"/>
      <protection hidden="1"/>
    </xf>
    <xf numFmtId="49" fontId="29" fillId="14" borderId="20" xfId="0" applyNumberFormat="1" applyFont="1" applyFill="1" applyBorder="1" applyAlignment="1" applyProtection="1">
      <alignment vertical="center"/>
      <protection locked="0" hidden="1"/>
    </xf>
    <xf numFmtId="49" fontId="29" fillId="14" borderId="21" xfId="0" applyNumberFormat="1" applyFont="1" applyFill="1" applyBorder="1" applyAlignment="1" applyProtection="1">
      <alignment vertical="center"/>
      <protection locked="0" hidden="1"/>
    </xf>
    <xf numFmtId="49" fontId="29" fillId="14" borderId="22" xfId="0" applyNumberFormat="1" applyFont="1" applyFill="1" applyBorder="1" applyAlignment="1" applyProtection="1">
      <alignment vertical="center"/>
      <protection locked="0" hidden="1"/>
    </xf>
    <xf numFmtId="0" fontId="4" fillId="0" borderId="0" xfId="0" applyFont="1" applyFill="1" applyProtection="1">
      <protection hidden="1"/>
    </xf>
    <xf numFmtId="0" fontId="2"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3" fontId="26" fillId="0" borderId="0" xfId="0" applyNumberFormat="1" applyFont="1" applyFill="1" applyBorder="1" applyAlignment="1" applyProtection="1">
      <alignment vertical="center"/>
      <protection hidden="1"/>
    </xf>
    <xf numFmtId="0" fontId="4" fillId="0" borderId="0" xfId="0" applyFont="1" applyAlignment="1" applyProtection="1">
      <protection hidden="1"/>
    </xf>
    <xf numFmtId="3" fontId="32" fillId="15" borderId="20" xfId="0" applyNumberFormat="1" applyFont="1" applyFill="1" applyBorder="1" applyAlignment="1" applyProtection="1">
      <alignment vertical="center" wrapText="1"/>
      <protection hidden="1"/>
    </xf>
    <xf numFmtId="3" fontId="29" fillId="15" borderId="32" xfId="0" applyNumberFormat="1" applyFont="1" applyFill="1" applyBorder="1" applyAlignment="1" applyProtection="1">
      <alignment vertical="center" wrapText="1"/>
      <protection hidden="1"/>
    </xf>
    <xf numFmtId="3" fontId="29" fillId="15" borderId="32" xfId="0" applyNumberFormat="1" applyFont="1" applyFill="1" applyBorder="1" applyAlignment="1" applyProtection="1">
      <alignment vertical="center"/>
      <protection hidden="1"/>
    </xf>
    <xf numFmtId="3" fontId="29" fillId="17" borderId="34" xfId="0" applyNumberFormat="1" applyFont="1" applyFill="1" applyBorder="1" applyAlignment="1" applyProtection="1">
      <alignment vertical="center"/>
      <protection hidden="1"/>
    </xf>
    <xf numFmtId="1" fontId="4" fillId="0" borderId="0" xfId="0" applyNumberFormat="1" applyFont="1" applyFill="1" applyBorder="1" applyAlignment="1" applyProtection="1">
      <alignment vertical="center"/>
      <protection hidden="1"/>
    </xf>
    <xf numFmtId="3" fontId="32" fillId="15" borderId="32" xfId="0" applyNumberFormat="1" applyFont="1" applyFill="1" applyBorder="1" applyAlignment="1" applyProtection="1">
      <alignment vertical="center" wrapText="1"/>
      <protection hidden="1"/>
    </xf>
    <xf numFmtId="3" fontId="29" fillId="15" borderId="21" xfId="0" applyNumberFormat="1" applyFont="1" applyFill="1" applyBorder="1" applyAlignment="1" applyProtection="1">
      <alignment vertical="center" wrapText="1"/>
      <protection hidden="1"/>
    </xf>
    <xf numFmtId="3" fontId="29" fillId="15" borderId="21" xfId="0" applyNumberFormat="1" applyFont="1" applyFill="1" applyBorder="1" applyAlignment="1" applyProtection="1">
      <alignment vertical="center"/>
      <protection hidden="1"/>
    </xf>
    <xf numFmtId="3" fontId="29" fillId="17" borderId="16" xfId="0" applyNumberFormat="1" applyFont="1" applyFill="1" applyBorder="1" applyAlignment="1" applyProtection="1">
      <alignment vertical="center"/>
      <protection hidden="1"/>
    </xf>
    <xf numFmtId="3" fontId="32" fillId="15" borderId="35" xfId="0" applyNumberFormat="1" applyFont="1" applyFill="1" applyBorder="1" applyAlignment="1" applyProtection="1">
      <alignment vertical="center" wrapText="1"/>
      <protection hidden="1"/>
    </xf>
    <xf numFmtId="3" fontId="29" fillId="15" borderId="22" xfId="0" applyNumberFormat="1" applyFont="1" applyFill="1" applyBorder="1" applyAlignment="1" applyProtection="1">
      <alignment vertical="center" wrapText="1"/>
      <protection hidden="1"/>
    </xf>
    <xf numFmtId="3" fontId="29" fillId="15" borderId="22" xfId="0" applyNumberFormat="1" applyFont="1" applyFill="1" applyBorder="1" applyAlignment="1" applyProtection="1">
      <alignment vertical="center"/>
      <protection hidden="1"/>
    </xf>
    <xf numFmtId="3" fontId="29" fillId="17" borderId="17" xfId="0" applyNumberFormat="1" applyFont="1" applyFill="1" applyBorder="1" applyAlignment="1" applyProtection="1">
      <alignment vertical="center"/>
      <protection hidden="1"/>
    </xf>
    <xf numFmtId="0" fontId="4" fillId="0" borderId="0" xfId="0" applyFont="1" applyAlignment="1" applyProtection="1">
      <alignment horizontal="left"/>
      <protection hidden="1"/>
    </xf>
    <xf numFmtId="0" fontId="2" fillId="0" borderId="35" xfId="0" applyFont="1" applyBorder="1" applyAlignment="1" applyProtection="1">
      <alignment horizontal="center" vertical="center"/>
      <protection hidden="1"/>
    </xf>
    <xf numFmtId="49" fontId="29" fillId="14" borderId="36" xfId="0" applyNumberFormat="1" applyFont="1" applyFill="1" applyBorder="1" applyAlignment="1" applyProtection="1">
      <alignment vertical="center"/>
      <protection locked="0" hidden="1"/>
    </xf>
    <xf numFmtId="49" fontId="29" fillId="14" borderId="37" xfId="0" applyNumberFormat="1" applyFont="1" applyFill="1" applyBorder="1" applyAlignment="1" applyProtection="1">
      <alignment vertical="center"/>
      <protection locked="0" hidden="1"/>
    </xf>
    <xf numFmtId="49" fontId="29" fillId="14" borderId="38" xfId="0" applyNumberFormat="1" applyFont="1" applyFill="1" applyBorder="1" applyAlignment="1" applyProtection="1">
      <alignment vertical="center"/>
      <protection locked="0" hidden="1"/>
    </xf>
    <xf numFmtId="49" fontId="29" fillId="14" borderId="11" xfId="0" applyNumberFormat="1" applyFont="1" applyFill="1" applyBorder="1" applyAlignment="1" applyProtection="1">
      <alignment vertical="center"/>
      <protection locked="0" hidden="1"/>
    </xf>
    <xf numFmtId="49" fontId="29" fillId="14" borderId="7" xfId="0" applyNumberFormat="1" applyFont="1" applyFill="1" applyBorder="1" applyAlignment="1" applyProtection="1">
      <alignment vertical="center"/>
      <protection locked="0" hidden="1"/>
    </xf>
    <xf numFmtId="49" fontId="29" fillId="14" borderId="8" xfId="0" applyNumberFormat="1" applyFont="1" applyFill="1" applyBorder="1" applyAlignment="1" applyProtection="1">
      <alignment vertical="center"/>
      <protection locked="0" hidden="1"/>
    </xf>
    <xf numFmtId="0" fontId="10" fillId="0" borderId="30" xfId="0" applyFont="1" applyFill="1" applyBorder="1" applyAlignment="1" applyProtection="1">
      <alignment horizontal="left"/>
      <protection locked="0"/>
    </xf>
    <xf numFmtId="0" fontId="10" fillId="0" borderId="27" xfId="0" applyFont="1" applyFill="1" applyBorder="1" applyAlignment="1" applyProtection="1">
      <alignment horizontal="left"/>
      <protection locked="0"/>
    </xf>
    <xf numFmtId="49" fontId="0" fillId="16" borderId="30" xfId="0" applyNumberFormat="1" applyFont="1" applyFill="1" applyBorder="1" applyAlignment="1" applyProtection="1">
      <alignment horizontal="center" vertical="center"/>
      <protection locked="0"/>
    </xf>
    <xf numFmtId="49" fontId="0" fillId="16" borderId="30" xfId="0" applyNumberFormat="1" applyFont="1" applyFill="1" applyBorder="1" applyProtection="1">
      <protection locked="0"/>
    </xf>
    <xf numFmtId="0" fontId="10" fillId="0" borderId="39" xfId="0" applyFont="1" applyBorder="1" applyAlignment="1">
      <alignment horizontal="center" vertical="center" wrapText="1"/>
    </xf>
    <xf numFmtId="0" fontId="0" fillId="0" borderId="41" xfId="0" applyBorder="1" applyAlignment="1">
      <alignment horizontal="center" vertical="center" wrapText="1"/>
    </xf>
    <xf numFmtId="0" fontId="29" fillId="0" borderId="41" xfId="0" applyFont="1" applyBorder="1" applyAlignment="1">
      <alignment horizontal="center" vertical="center" wrapText="1"/>
    </xf>
    <xf numFmtId="0" fontId="30" fillId="0" borderId="22" xfId="0" applyFont="1" applyBorder="1" applyAlignment="1">
      <alignment vertical="center" wrapText="1"/>
    </xf>
    <xf numFmtId="0" fontId="31" fillId="0" borderId="20" xfId="0" applyFont="1" applyBorder="1" applyAlignment="1">
      <alignment vertical="center" wrapText="1"/>
    </xf>
    <xf numFmtId="0" fontId="21" fillId="0" borderId="44" xfId="0" applyFont="1" applyBorder="1" applyAlignment="1">
      <alignment horizontal="center" vertical="center" wrapText="1"/>
    </xf>
    <xf numFmtId="0" fontId="3" fillId="0" borderId="23" xfId="0" applyFont="1" applyBorder="1" applyAlignment="1">
      <alignment vertical="center" wrapText="1"/>
    </xf>
    <xf numFmtId="0" fontId="3" fillId="0" borderId="45" xfId="0" applyFont="1" applyBorder="1" applyAlignment="1">
      <alignment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wrapText="1"/>
    </xf>
    <xf numFmtId="165" fontId="29" fillId="16" borderId="30" xfId="0" applyNumberFormat="1" applyFont="1" applyFill="1" applyBorder="1" applyAlignment="1" applyProtection="1">
      <alignment horizontal="center" vertical="center"/>
      <protection locked="0"/>
    </xf>
    <xf numFmtId="165" fontId="29" fillId="16" borderId="27" xfId="0" applyNumberFormat="1" applyFont="1" applyFill="1" applyBorder="1" applyAlignment="1" applyProtection="1">
      <alignment horizontal="center" vertical="center"/>
      <protection locked="0"/>
    </xf>
    <xf numFmtId="165" fontId="29" fillId="16" borderId="28" xfId="0" applyNumberFormat="1" applyFont="1" applyFill="1" applyBorder="1" applyAlignment="1" applyProtection="1">
      <alignment horizontal="center" vertical="center"/>
      <protection locked="0"/>
    </xf>
    <xf numFmtId="0" fontId="45" fillId="0" borderId="0" xfId="14" applyFont="1"/>
    <xf numFmtId="0" fontId="52" fillId="0" borderId="0" xfId="14"/>
    <xf numFmtId="0" fontId="52" fillId="0" borderId="46" xfId="14" applyBorder="1"/>
    <xf numFmtId="0" fontId="45" fillId="0" borderId="4" xfId="14" applyFont="1" applyFill="1" applyBorder="1"/>
    <xf numFmtId="0" fontId="45" fillId="0" borderId="41" xfId="14" applyFont="1" applyFill="1" applyBorder="1" applyAlignment="1">
      <alignment horizontal="center"/>
    </xf>
    <xf numFmtId="0" fontId="46" fillId="18" borderId="0" xfId="14" applyFont="1" applyFill="1"/>
    <xf numFmtId="0" fontId="52" fillId="18" borderId="0" xfId="14" applyFill="1"/>
    <xf numFmtId="0" fontId="52" fillId="18" borderId="47" xfId="14" applyFill="1" applyBorder="1"/>
    <xf numFmtId="0" fontId="47" fillId="0" borderId="0" xfId="14" applyFont="1"/>
    <xf numFmtId="0" fontId="52" fillId="0" borderId="42" xfId="14" applyBorder="1"/>
    <xf numFmtId="0" fontId="52" fillId="0" borderId="48" xfId="14" applyBorder="1"/>
    <xf numFmtId="0" fontId="52" fillId="0" borderId="47" xfId="14" applyBorder="1"/>
    <xf numFmtId="0" fontId="52" fillId="0" borderId="49" xfId="14" applyBorder="1"/>
    <xf numFmtId="0" fontId="52" fillId="0" borderId="0" xfId="14" applyBorder="1"/>
    <xf numFmtId="0" fontId="52" fillId="0" borderId="0" xfId="14" quotePrefix="1" applyBorder="1" applyAlignment="1"/>
    <xf numFmtId="0" fontId="52" fillId="0" borderId="50" xfId="14" applyBorder="1"/>
    <xf numFmtId="0" fontId="52" fillId="0" borderId="0" xfId="14" applyBorder="1" applyAlignment="1"/>
    <xf numFmtId="0" fontId="52" fillId="0" borderId="50" xfId="14" applyBorder="1" applyAlignment="1"/>
    <xf numFmtId="0" fontId="52" fillId="0" borderId="0" xfId="14" applyAlignment="1"/>
    <xf numFmtId="0" fontId="52" fillId="0" borderId="0" xfId="14" quotePrefix="1" applyBorder="1"/>
    <xf numFmtId="0" fontId="52" fillId="0" borderId="51" xfId="14" applyBorder="1"/>
    <xf numFmtId="0" fontId="47" fillId="0" borderId="46" xfId="14" applyFont="1" applyBorder="1"/>
    <xf numFmtId="0" fontId="52" fillId="0" borderId="46" xfId="14" quotePrefix="1" applyBorder="1" applyAlignment="1"/>
    <xf numFmtId="0" fontId="52" fillId="0" borderId="45" xfId="14" applyBorder="1"/>
    <xf numFmtId="0" fontId="52" fillId="0" borderId="0" xfId="14" quotePrefix="1" applyAlignment="1"/>
    <xf numFmtId="3" fontId="29" fillId="12" borderId="52" xfId="0" applyNumberFormat="1" applyFont="1" applyFill="1" applyBorder="1" applyAlignment="1" applyProtection="1">
      <alignment horizontal="center" vertical="center"/>
      <protection locked="0"/>
    </xf>
    <xf numFmtId="3" fontId="29" fillId="12" borderId="53" xfId="0" applyNumberFormat="1" applyFont="1" applyFill="1" applyBorder="1" applyAlignment="1" applyProtection="1">
      <alignment horizontal="center" vertical="center"/>
      <protection locked="0"/>
    </xf>
    <xf numFmtId="3" fontId="29" fillId="12" borderId="54" xfId="0" applyNumberFormat="1" applyFont="1" applyFill="1" applyBorder="1" applyAlignment="1" applyProtection="1">
      <alignment horizontal="center" vertical="center"/>
      <protection locked="0"/>
    </xf>
    <xf numFmtId="0" fontId="41" fillId="0" borderId="55" xfId="0" applyFont="1" applyBorder="1" applyAlignment="1">
      <alignment vertical="top"/>
    </xf>
    <xf numFmtId="0" fontId="42" fillId="0" borderId="55" xfId="0" applyFont="1" applyBorder="1" applyAlignment="1">
      <alignment vertical="top"/>
    </xf>
    <xf numFmtId="49" fontId="41" fillId="0" borderId="55" xfId="0" applyNumberFormat="1" applyFont="1" applyBorder="1" applyAlignment="1">
      <alignment vertical="top"/>
    </xf>
    <xf numFmtId="0" fontId="43" fillId="0" borderId="55" xfId="0" applyFont="1" applyBorder="1" applyAlignment="1">
      <alignment vertical="top"/>
    </xf>
    <xf numFmtId="0" fontId="37"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29" fillId="15" borderId="15" xfId="0" applyNumberFormat="1" applyFont="1" applyFill="1" applyBorder="1" applyAlignment="1" applyProtection="1">
      <alignment vertical="center"/>
      <protection hidden="1"/>
    </xf>
    <xf numFmtId="0" fontId="29" fillId="15" borderId="16" xfId="0" applyNumberFormat="1" applyFont="1" applyFill="1" applyBorder="1" applyAlignment="1" applyProtection="1">
      <alignment vertical="center"/>
      <protection hidden="1"/>
    </xf>
    <xf numFmtId="0" fontId="29" fillId="15" borderId="17" xfId="0" applyNumberFormat="1" applyFont="1" applyFill="1" applyBorder="1" applyAlignment="1" applyProtection="1">
      <alignment vertical="center"/>
      <protection hidden="1"/>
    </xf>
    <xf numFmtId="0" fontId="20" fillId="0" borderId="57"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8" xfId="0" applyFont="1" applyBorder="1" applyAlignment="1">
      <alignment horizontal="center" vertical="center"/>
    </xf>
    <xf numFmtId="0" fontId="20" fillId="0" borderId="59" xfId="0" applyFont="1" applyBorder="1" applyAlignment="1">
      <alignment horizontal="center" vertical="center"/>
    </xf>
    <xf numFmtId="0" fontId="12" fillId="0" borderId="43" xfId="0" applyFont="1" applyBorder="1" applyAlignment="1">
      <alignment horizontal="center" vertical="center"/>
    </xf>
    <xf numFmtId="0" fontId="10" fillId="0" borderId="0" xfId="0" applyFont="1" applyAlignment="1" applyProtection="1">
      <alignment vertical="center"/>
    </xf>
    <xf numFmtId="0" fontId="11" fillId="0" borderId="0" xfId="0" applyFont="1" applyAlignment="1" applyProtection="1">
      <alignment vertical="center"/>
    </xf>
    <xf numFmtId="0" fontId="5" fillId="0" borderId="0" xfId="0" applyFont="1" applyFill="1" applyBorder="1" applyAlignment="1" applyProtection="1">
      <alignment horizontal="left" vertical="top"/>
    </xf>
    <xf numFmtId="0" fontId="5" fillId="0" borderId="0" xfId="0" applyFont="1" applyFill="1" applyBorder="1" applyAlignment="1" applyProtection="1">
      <alignment vertical="top"/>
    </xf>
    <xf numFmtId="0" fontId="4" fillId="0" borderId="0" xfId="0" applyFont="1" applyFill="1" applyBorder="1" applyProtection="1"/>
    <xf numFmtId="0" fontId="0" fillId="0" borderId="0" xfId="0" applyProtection="1"/>
    <xf numFmtId="0" fontId="3" fillId="0" borderId="0" xfId="0" applyFont="1" applyFill="1" applyBorder="1" applyAlignment="1" applyProtection="1">
      <alignment horizontal="left" vertical="top"/>
    </xf>
    <xf numFmtId="0" fontId="3" fillId="0" borderId="0" xfId="0" applyFont="1" applyFill="1" applyBorder="1" applyAlignment="1" applyProtection="1">
      <alignment vertical="top" wrapText="1"/>
    </xf>
    <xf numFmtId="0" fontId="4" fillId="0" borderId="0" xfId="0" applyFont="1" applyFill="1" applyBorder="1" applyAlignment="1" applyProtection="1">
      <alignment horizontal="left"/>
    </xf>
    <xf numFmtId="0" fontId="8" fillId="0" borderId="0" xfId="12" applyFont="1" applyFill="1" applyBorder="1" applyAlignment="1" applyProtection="1"/>
    <xf numFmtId="0" fontId="2" fillId="0" borderId="60" xfId="0" applyFont="1" applyFill="1" applyBorder="1" applyAlignment="1" applyProtection="1">
      <alignment horizontal="center" vertical="center" wrapText="1"/>
    </xf>
    <xf numFmtId="0" fontId="35" fillId="0" borderId="61" xfId="0" applyFont="1" applyFill="1" applyBorder="1" applyAlignment="1" applyProtection="1">
      <alignment horizontal="center" vertical="center"/>
    </xf>
    <xf numFmtId="0" fontId="35" fillId="0" borderId="62" xfId="0" applyFont="1" applyFill="1" applyBorder="1" applyAlignment="1" applyProtection="1">
      <alignment horizontal="center" vertical="top" wrapText="1"/>
    </xf>
    <xf numFmtId="0" fontId="3" fillId="0" borderId="0" xfId="0" applyFont="1" applyFill="1" applyBorder="1" applyAlignment="1" applyProtection="1">
      <alignment horizontal="center" vertical="center" wrapText="1"/>
    </xf>
    <xf numFmtId="0" fontId="8" fillId="0" borderId="0" xfId="12" applyFont="1" applyFill="1" applyBorder="1" applyAlignment="1" applyProtection="1">
      <alignment horizontal="center" vertical="center"/>
    </xf>
    <xf numFmtId="0" fontId="9" fillId="0" borderId="0" xfId="0" applyFont="1" applyFill="1" applyBorder="1" applyAlignment="1" applyProtection="1">
      <alignment horizontal="left"/>
    </xf>
    <xf numFmtId="0" fontId="9" fillId="0" borderId="0" xfId="0" applyFont="1" applyFill="1" applyBorder="1" applyAlignment="1" applyProtection="1"/>
    <xf numFmtId="0" fontId="9" fillId="0" borderId="0" xfId="0" applyFont="1" applyFill="1" applyBorder="1" applyAlignment="1" applyProtection="1">
      <alignment horizontal="center" vertical="center"/>
    </xf>
    <xf numFmtId="1" fontId="9"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xf numFmtId="49" fontId="2" fillId="0" borderId="61" xfId="0" applyNumberFormat="1" applyFont="1" applyFill="1" applyBorder="1" applyAlignment="1" applyProtection="1">
      <alignment horizontal="center" vertical="center" wrapText="1"/>
    </xf>
    <xf numFmtId="49" fontId="2" fillId="0" borderId="31" xfId="0" applyNumberFormat="1" applyFont="1" applyBorder="1" applyAlignment="1" applyProtection="1">
      <alignment horizontal="center" vertical="center" wrapText="1"/>
    </xf>
    <xf numFmtId="49" fontId="2" fillId="12" borderId="63" xfId="0" applyNumberFormat="1" applyFont="1" applyFill="1" applyBorder="1" applyAlignment="1" applyProtection="1">
      <alignment horizontal="center" vertical="center" wrapText="1"/>
    </xf>
    <xf numFmtId="49" fontId="2" fillId="12" borderId="29" xfId="0" applyNumberFormat="1" applyFont="1" applyFill="1" applyBorder="1" applyAlignment="1" applyProtection="1">
      <alignment horizontal="center" vertical="center" wrapText="1"/>
    </xf>
    <xf numFmtId="1" fontId="2" fillId="12" borderId="29" xfId="0" applyNumberFormat="1" applyFont="1" applyFill="1" applyBorder="1" applyAlignment="1" applyProtection="1">
      <alignment horizontal="center" vertical="center" wrapText="1"/>
    </xf>
    <xf numFmtId="0" fontId="2" fillId="12" borderId="29" xfId="0" applyNumberFormat="1" applyFont="1" applyFill="1" applyBorder="1" applyAlignment="1" applyProtection="1">
      <alignment horizontal="center" vertical="center" wrapText="1"/>
    </xf>
    <xf numFmtId="0" fontId="4" fillId="12" borderId="29" xfId="0" applyFont="1" applyFill="1" applyBorder="1" applyAlignment="1" applyProtection="1"/>
    <xf numFmtId="49" fontId="32" fillId="12" borderId="43" xfId="0" applyNumberFormat="1" applyFont="1" applyFill="1" applyBorder="1" applyAlignment="1" applyProtection="1">
      <alignment horizontal="right" vertical="center"/>
    </xf>
    <xf numFmtId="0" fontId="4" fillId="0" borderId="0" xfId="0" applyFont="1" applyFill="1" applyBorder="1" applyAlignment="1" applyProtection="1">
      <alignment vertical="center" wrapText="1"/>
    </xf>
    <xf numFmtId="0" fontId="0" fillId="0" borderId="0" xfId="0" applyFill="1" applyAlignment="1" applyProtection="1">
      <alignment vertical="center" wrapText="1"/>
    </xf>
    <xf numFmtId="3" fontId="4" fillId="0" borderId="0"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vertical="center"/>
    </xf>
    <xf numFmtId="3" fontId="3" fillId="0" borderId="0" xfId="0" applyNumberFormat="1" applyFont="1" applyFill="1" applyBorder="1" applyAlignment="1" applyProtection="1">
      <alignment horizontal="center" vertical="center" wrapText="1"/>
    </xf>
    <xf numFmtId="1" fontId="2" fillId="0" borderId="31" xfId="0" applyNumberFormat="1" applyFont="1" applyBorder="1" applyAlignment="1" applyProtection="1">
      <alignment horizontal="center" vertical="center" wrapText="1"/>
    </xf>
    <xf numFmtId="3" fontId="2" fillId="0" borderId="31" xfId="0" applyNumberFormat="1" applyFont="1" applyBorder="1" applyAlignment="1" applyProtection="1">
      <alignment horizontal="center" vertical="center" wrapText="1"/>
    </xf>
    <xf numFmtId="0" fontId="2" fillId="0" borderId="31" xfId="0" applyNumberFormat="1" applyFont="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25" fillId="0" borderId="0" xfId="0" applyNumberFormat="1" applyFont="1" applyAlignment="1" applyProtection="1">
      <alignment vertical="center"/>
    </xf>
    <xf numFmtId="0" fontId="3" fillId="0" borderId="0" xfId="0" applyNumberFormat="1" applyFont="1" applyFill="1" applyBorder="1" applyAlignment="1" applyProtection="1">
      <alignment vertical="center" wrapText="1"/>
    </xf>
    <xf numFmtId="3" fontId="9"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vertical="center"/>
    </xf>
    <xf numFmtId="0" fontId="3" fillId="0" borderId="66" xfId="0" applyNumberFormat="1" applyFont="1" applyFill="1" applyBorder="1" applyAlignment="1" applyProtection="1">
      <alignment vertical="center" wrapText="1"/>
    </xf>
    <xf numFmtId="3" fontId="32" fillId="12" borderId="63" xfId="0" applyNumberFormat="1" applyFont="1" applyFill="1" applyBorder="1" applyAlignment="1" applyProtection="1">
      <alignment vertical="center"/>
    </xf>
    <xf numFmtId="49" fontId="32" fillId="12" borderId="63" xfId="0" applyNumberFormat="1" applyFont="1" applyFill="1" applyBorder="1" applyAlignment="1" applyProtection="1">
      <alignment vertical="center"/>
    </xf>
    <xf numFmtId="49" fontId="32" fillId="12" borderId="67" xfId="0" applyNumberFormat="1"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3" fontId="4" fillId="0" borderId="0" xfId="0" applyNumberFormat="1" applyFont="1" applyFill="1" applyBorder="1" applyAlignment="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vertical="center"/>
    </xf>
    <xf numFmtId="3" fontId="9" fillId="0" borderId="0" xfId="0" applyNumberFormat="1" applyFont="1" applyFill="1" applyBorder="1" applyAlignment="1" applyProtection="1">
      <alignment vertical="center"/>
    </xf>
    <xf numFmtId="0" fontId="2" fillId="0" borderId="0" xfId="0" applyFont="1" applyAlignment="1" applyProtection="1">
      <alignment vertical="center"/>
    </xf>
    <xf numFmtId="49" fontId="9" fillId="0" borderId="0" xfId="0" applyNumberFormat="1" applyFont="1" applyFill="1" applyBorder="1" applyAlignment="1" applyProtection="1">
      <alignment vertical="center"/>
    </xf>
    <xf numFmtId="0" fontId="2" fillId="0" borderId="8" xfId="0" applyNumberFormat="1" applyFont="1" applyBorder="1" applyAlignment="1" applyProtection="1">
      <alignment horizontal="center" vertical="center" wrapText="1"/>
    </xf>
    <xf numFmtId="0" fontId="2" fillId="0" borderId="19" xfId="0" applyNumberFormat="1" applyFont="1" applyBorder="1" applyAlignment="1" applyProtection="1">
      <alignment horizontal="center" vertical="center" wrapText="1"/>
    </xf>
    <xf numFmtId="0" fontId="2" fillId="0" borderId="6" xfId="0" applyNumberFormat="1" applyFont="1" applyBorder="1" applyAlignment="1" applyProtection="1">
      <alignment horizontal="center" vertical="center" wrapText="1"/>
    </xf>
    <xf numFmtId="49" fontId="32" fillId="12" borderId="63" xfId="0" applyNumberFormat="1" applyFont="1" applyFill="1" applyBorder="1" applyAlignment="1" applyProtection="1">
      <alignment horizontal="center" vertical="center" wrapText="1"/>
    </xf>
    <xf numFmtId="49" fontId="32" fillId="12" borderId="29" xfId="0" applyNumberFormat="1" applyFont="1" applyFill="1" applyBorder="1" applyAlignment="1" applyProtection="1">
      <alignment horizontal="center" vertical="center" wrapText="1"/>
    </xf>
    <xf numFmtId="3" fontId="32" fillId="12" borderId="29" xfId="0" applyNumberFormat="1" applyFont="1" applyFill="1" applyBorder="1" applyAlignment="1" applyProtection="1">
      <alignment horizontal="center" vertical="center" wrapText="1"/>
    </xf>
    <xf numFmtId="3" fontId="32" fillId="12" borderId="29" xfId="0" applyNumberFormat="1" applyFont="1" applyFill="1" applyBorder="1" applyAlignment="1" applyProtection="1">
      <alignment vertical="center" wrapText="1"/>
    </xf>
    <xf numFmtId="0" fontId="32" fillId="12" borderId="68" xfId="0" applyFont="1" applyFill="1" applyBorder="1" applyAlignment="1" applyProtection="1">
      <alignment horizontal="right" vertical="center"/>
    </xf>
    <xf numFmtId="49" fontId="2" fillId="0" borderId="31" xfId="0" applyNumberFormat="1"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63" xfId="0" applyFont="1" applyFill="1" applyBorder="1" applyAlignment="1" applyProtection="1">
      <alignment horizontal="center" vertical="center" wrapText="1"/>
    </xf>
    <xf numFmtId="3" fontId="32" fillId="12" borderId="31" xfId="0" applyNumberFormat="1" applyFont="1" applyFill="1" applyBorder="1" applyAlignment="1" applyProtection="1">
      <alignment vertical="center" wrapText="1"/>
    </xf>
    <xf numFmtId="0" fontId="4" fillId="0" borderId="0" xfId="0" applyFont="1" applyFill="1" applyProtection="1"/>
    <xf numFmtId="49" fontId="32" fillId="12" borderId="29" xfId="0" applyNumberFormat="1" applyFont="1" applyFill="1" applyBorder="1" applyAlignment="1" applyProtection="1">
      <alignment vertical="center"/>
    </xf>
    <xf numFmtId="0" fontId="34" fillId="0" borderId="36" xfId="0" applyFont="1" applyBorder="1" applyAlignment="1" applyProtection="1">
      <alignment vertical="center"/>
    </xf>
    <xf numFmtId="0" fontId="34" fillId="0" borderId="38" xfId="0" applyFont="1" applyBorder="1" applyAlignment="1" applyProtection="1">
      <alignment vertical="center"/>
    </xf>
    <xf numFmtId="0" fontId="34" fillId="0" borderId="44" xfId="0" applyFont="1" applyBorder="1" applyAlignment="1" applyProtection="1">
      <alignment vertical="center"/>
    </xf>
    <xf numFmtId="0" fontId="34" fillId="0" borderId="19" xfId="0" applyFont="1" applyBorder="1" applyAlignment="1" applyProtection="1">
      <alignment vertical="center"/>
    </xf>
    <xf numFmtId="0" fontId="35" fillId="0" borderId="44" xfId="0" applyFont="1" applyBorder="1" applyAlignment="1" applyProtection="1">
      <alignment vertical="center"/>
    </xf>
    <xf numFmtId="0" fontId="35" fillId="0" borderId="19" xfId="0" applyFont="1" applyBorder="1" applyAlignment="1" applyProtection="1">
      <alignment vertical="center"/>
    </xf>
    <xf numFmtId="3" fontId="9" fillId="0" borderId="0" xfId="0" applyNumberFormat="1" applyFont="1" applyFill="1" applyBorder="1" applyAlignment="1" applyProtection="1"/>
    <xf numFmtId="3" fontId="29" fillId="15" borderId="20" xfId="0" applyNumberFormat="1" applyFont="1" applyFill="1" applyBorder="1" applyProtection="1">
      <protection hidden="1"/>
    </xf>
    <xf numFmtId="3" fontId="29" fillId="15" borderId="21" xfId="0" applyNumberFormat="1" applyFont="1" applyFill="1" applyBorder="1" applyProtection="1">
      <protection hidden="1"/>
    </xf>
    <xf numFmtId="3" fontId="29" fillId="15" borderId="22" xfId="0" applyNumberFormat="1" applyFont="1" applyFill="1" applyBorder="1" applyProtection="1">
      <protection hidden="1"/>
    </xf>
    <xf numFmtId="3" fontId="29" fillId="0" borderId="0" xfId="0" applyNumberFormat="1" applyFont="1" applyFill="1" applyBorder="1" applyAlignment="1" applyProtection="1">
      <protection hidden="1"/>
    </xf>
    <xf numFmtId="3" fontId="29" fillId="15" borderId="20" xfId="0" applyNumberFormat="1" applyFont="1" applyFill="1" applyBorder="1" applyAlignment="1" applyProtection="1">
      <alignment vertical="center"/>
      <protection hidden="1"/>
    </xf>
    <xf numFmtId="3" fontId="32" fillId="12" borderId="43" xfId="0" applyNumberFormat="1" applyFont="1" applyFill="1" applyBorder="1" applyAlignment="1" applyProtection="1">
      <alignment horizontal="right" vertical="center"/>
    </xf>
    <xf numFmtId="3" fontId="29" fillId="16" borderId="30" xfId="0" applyNumberFormat="1" applyFont="1" applyFill="1" applyBorder="1" applyAlignment="1" applyProtection="1">
      <alignment vertical="center"/>
      <protection locked="0"/>
    </xf>
    <xf numFmtId="3" fontId="29" fillId="16" borderId="27" xfId="0" applyNumberFormat="1" applyFont="1" applyFill="1" applyBorder="1" applyAlignment="1" applyProtection="1">
      <alignment vertical="center"/>
      <protection locked="0"/>
    </xf>
    <xf numFmtId="3" fontId="29" fillId="16" borderId="28" xfId="0" applyNumberFormat="1" applyFont="1" applyFill="1" applyBorder="1" applyAlignment="1" applyProtection="1">
      <alignment vertical="center"/>
      <protection locked="0"/>
    </xf>
    <xf numFmtId="3" fontId="32" fillId="15" borderId="60" xfId="0" applyNumberFormat="1" applyFont="1" applyFill="1" applyBorder="1" applyAlignment="1" applyProtection="1">
      <alignment vertical="center" wrapText="1"/>
      <protection hidden="1"/>
    </xf>
    <xf numFmtId="3" fontId="32" fillId="15" borderId="26" xfId="0" applyNumberFormat="1" applyFont="1" applyFill="1" applyBorder="1" applyAlignment="1" applyProtection="1">
      <alignment vertical="center" wrapText="1"/>
      <protection hidden="1"/>
    </xf>
    <xf numFmtId="3" fontId="29" fillId="12" borderId="76" xfId="0" applyNumberFormat="1" applyFont="1" applyFill="1" applyBorder="1" applyAlignment="1" applyProtection="1">
      <alignment vertical="center"/>
      <protection hidden="1"/>
    </xf>
    <xf numFmtId="3" fontId="29" fillId="12" borderId="0" xfId="0" applyNumberFormat="1" applyFont="1" applyFill="1" applyBorder="1" applyAlignment="1" applyProtection="1">
      <alignment vertical="center"/>
      <protection hidden="1"/>
    </xf>
    <xf numFmtId="3" fontId="29" fillId="15" borderId="14" xfId="0" applyNumberFormat="1" applyFont="1" applyFill="1" applyBorder="1" applyAlignment="1" applyProtection="1">
      <alignment vertical="center"/>
      <protection hidden="1"/>
    </xf>
    <xf numFmtId="3" fontId="29" fillId="15" borderId="11" xfId="0" applyNumberFormat="1" applyFont="1" applyFill="1" applyBorder="1" applyAlignment="1" applyProtection="1">
      <alignment vertical="center"/>
      <protection hidden="1"/>
    </xf>
    <xf numFmtId="3" fontId="29" fillId="15" borderId="44" xfId="0" applyNumberFormat="1" applyFont="1" applyFill="1" applyBorder="1" applyAlignment="1" applyProtection="1">
      <alignment vertical="center"/>
      <protection hidden="1"/>
    </xf>
    <xf numFmtId="3" fontId="29" fillId="15" borderId="5" xfId="0" applyNumberFormat="1" applyFont="1" applyFill="1" applyBorder="1" applyAlignment="1" applyProtection="1">
      <alignment vertical="center"/>
      <protection hidden="1"/>
    </xf>
    <xf numFmtId="3" fontId="29" fillId="15" borderId="7" xfId="0" applyNumberFormat="1" applyFont="1" applyFill="1" applyBorder="1" applyAlignment="1" applyProtection="1">
      <alignment vertical="center"/>
      <protection hidden="1"/>
    </xf>
    <xf numFmtId="3" fontId="29" fillId="15" borderId="18" xfId="0" applyNumberFormat="1" applyFont="1" applyFill="1" applyBorder="1" applyAlignment="1" applyProtection="1">
      <alignment vertical="center"/>
      <protection hidden="1"/>
    </xf>
    <xf numFmtId="3" fontId="29" fillId="15" borderId="6" xfId="0" applyNumberFormat="1" applyFont="1" applyFill="1" applyBorder="1" applyAlignment="1" applyProtection="1">
      <alignment vertical="center"/>
      <protection hidden="1"/>
    </xf>
    <xf numFmtId="3" fontId="29" fillId="15" borderId="8" xfId="0" applyNumberFormat="1" applyFont="1" applyFill="1" applyBorder="1" applyAlignment="1" applyProtection="1">
      <alignment vertical="center"/>
      <protection hidden="1"/>
    </xf>
    <xf numFmtId="3" fontId="29" fillId="15" borderId="19" xfId="0" applyNumberFormat="1" applyFont="1" applyFill="1" applyBorder="1" applyAlignment="1" applyProtection="1">
      <alignment vertical="center"/>
      <protection hidden="1"/>
    </xf>
    <xf numFmtId="0" fontId="4" fillId="0" borderId="11" xfId="0" applyNumberFormat="1" applyFont="1" applyFill="1" applyBorder="1" applyAlignment="1" applyProtection="1">
      <alignment vertical="center" wrapText="1"/>
    </xf>
    <xf numFmtId="0" fontId="4" fillId="0" borderId="8" xfId="0" applyNumberFormat="1" applyFont="1" applyFill="1" applyBorder="1" applyAlignment="1" applyProtection="1">
      <alignment vertical="top" wrapText="1"/>
    </xf>
    <xf numFmtId="0" fontId="32" fillId="12" borderId="63" xfId="0" applyFont="1" applyFill="1" applyBorder="1" applyAlignment="1" applyProtection="1">
      <protection hidden="1"/>
    </xf>
    <xf numFmtId="0" fontId="4" fillId="0" borderId="6" xfId="0" applyNumberFormat="1" applyFont="1" applyFill="1" applyBorder="1" applyAlignment="1" applyProtection="1">
      <alignment vertical="center"/>
    </xf>
    <xf numFmtId="0" fontId="35" fillId="0" borderId="67" xfId="0" applyFont="1" applyFill="1" applyBorder="1" applyAlignment="1" applyProtection="1">
      <alignment horizontal="center" vertical="top" wrapText="1"/>
    </xf>
    <xf numFmtId="0" fontId="32" fillId="12" borderId="29" xfId="0" applyFont="1" applyFill="1" applyBorder="1" applyAlignment="1" applyProtection="1">
      <alignment horizontal="right" vertical="center"/>
      <protection hidden="1"/>
    </xf>
    <xf numFmtId="3" fontId="29" fillId="15" borderId="39" xfId="0" applyNumberFormat="1" applyFont="1" applyFill="1" applyBorder="1" applyProtection="1">
      <protection hidden="1"/>
    </xf>
    <xf numFmtId="3" fontId="29" fillId="15" borderId="77" xfId="0" applyNumberFormat="1" applyFont="1" applyFill="1" applyBorder="1" applyProtection="1">
      <protection hidden="1"/>
    </xf>
    <xf numFmtId="3" fontId="29" fillId="12" borderId="77" xfId="0" applyNumberFormat="1" applyFont="1" applyFill="1" applyBorder="1" applyProtection="1">
      <protection hidden="1"/>
    </xf>
    <xf numFmtId="3" fontId="29" fillId="12" borderId="78" xfId="0" applyNumberFormat="1" applyFont="1" applyFill="1" applyBorder="1" applyProtection="1">
      <protection hidden="1"/>
    </xf>
    <xf numFmtId="0" fontId="2" fillId="0" borderId="60" xfId="0" applyFont="1" applyFill="1" applyBorder="1" applyAlignment="1" applyProtection="1">
      <alignment horizontal="center" vertical="top" wrapText="1"/>
    </xf>
    <xf numFmtId="3" fontId="32" fillId="15" borderId="31" xfId="0" applyNumberFormat="1" applyFont="1" applyFill="1" applyBorder="1" applyProtection="1">
      <protection hidden="1"/>
    </xf>
    <xf numFmtId="0" fontId="29" fillId="12" borderId="21" xfId="0" applyFont="1" applyFill="1" applyBorder="1" applyProtection="1">
      <protection hidden="1"/>
    </xf>
    <xf numFmtId="0" fontId="29" fillId="12" borderId="22" xfId="0" applyFont="1" applyFill="1" applyBorder="1" applyProtection="1">
      <protection hidden="1"/>
    </xf>
    <xf numFmtId="3" fontId="32" fillId="15" borderId="22" xfId="0" applyNumberFormat="1" applyFont="1" applyFill="1" applyBorder="1" applyAlignment="1" applyProtection="1">
      <alignment horizontal="right" vertical="center"/>
      <protection hidden="1"/>
    </xf>
    <xf numFmtId="3" fontId="32" fillId="15" borderId="65" xfId="0" applyNumberFormat="1" applyFont="1" applyFill="1" applyBorder="1" applyAlignment="1" applyProtection="1">
      <alignment horizontal="right" vertical="center"/>
      <protection hidden="1"/>
    </xf>
    <xf numFmtId="0" fontId="3" fillId="0" borderId="61" xfId="0" applyFont="1" applyBorder="1" applyAlignment="1">
      <alignment horizontal="center" vertical="center"/>
    </xf>
    <xf numFmtId="0" fontId="3" fillId="0" borderId="79" xfId="0" applyFont="1" applyBorder="1" applyAlignment="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45" fillId="0" borderId="4" xfId="14" applyFont="1" applyFill="1" applyBorder="1" applyAlignment="1" applyProtection="1">
      <alignment horizontal="center" vertical="center"/>
      <protection locked="0"/>
    </xf>
    <xf numFmtId="0" fontId="52" fillId="0" borderId="4" xfId="14" applyFill="1" applyBorder="1" applyProtection="1">
      <protection locked="0"/>
    </xf>
    <xf numFmtId="0" fontId="52" fillId="0" borderId="4" xfId="14" applyBorder="1" applyProtection="1">
      <protection locked="0"/>
    </xf>
    <xf numFmtId="0" fontId="46" fillId="18" borderId="4" xfId="14" applyFont="1" applyFill="1" applyBorder="1" applyProtection="1"/>
    <xf numFmtId="0" fontId="10" fillId="0" borderId="63" xfId="0" applyFont="1" applyBorder="1" applyAlignment="1" applyProtection="1">
      <alignment vertical="center"/>
    </xf>
    <xf numFmtId="0" fontId="10" fillId="0" borderId="63" xfId="0" applyNumberFormat="1" applyFont="1" applyBorder="1" applyAlignment="1" applyProtection="1">
      <alignment vertical="center"/>
    </xf>
    <xf numFmtId="0" fontId="10" fillId="14" borderId="63" xfId="0" applyNumberFormat="1" applyFont="1" applyFill="1" applyBorder="1" applyAlignment="1" applyProtection="1">
      <alignment vertical="center"/>
      <protection locked="0" hidden="1"/>
    </xf>
    <xf numFmtId="0" fontId="51" fillId="0" borderId="0" xfId="0" applyFont="1" applyAlignment="1" applyProtection="1">
      <alignment vertical="center"/>
    </xf>
    <xf numFmtId="0" fontId="51" fillId="0" borderId="0" xfId="0" applyFont="1" applyAlignment="1" applyProtection="1">
      <alignment vertical="center"/>
      <protection hidden="1"/>
    </xf>
    <xf numFmtId="0" fontId="10" fillId="0" borderId="0" xfId="0" applyFont="1" applyAlignment="1" applyProtection="1">
      <alignment vertical="center"/>
      <protection hidden="1"/>
    </xf>
    <xf numFmtId="3" fontId="24" fillId="0" borderId="0" xfId="0" applyNumberFormat="1" applyFont="1" applyFill="1" applyBorder="1" applyAlignment="1" applyProtection="1">
      <alignment vertical="center"/>
      <protection hidden="1"/>
    </xf>
    <xf numFmtId="0" fontId="10" fillId="0" borderId="80" xfId="0" applyFont="1" applyBorder="1" applyAlignment="1" applyProtection="1">
      <alignment vertical="center"/>
    </xf>
    <xf numFmtId="0" fontId="10" fillId="20" borderId="43" xfId="0" applyNumberFormat="1" applyFont="1" applyFill="1" applyBorder="1" applyAlignment="1" applyProtection="1">
      <alignment vertical="center"/>
      <protection hidden="1"/>
    </xf>
    <xf numFmtId="164" fontId="10" fillId="15" borderId="31" xfId="0" applyNumberFormat="1" applyFont="1" applyFill="1" applyBorder="1" applyAlignment="1" applyProtection="1">
      <alignment vertical="center" shrinkToFit="1"/>
      <protection hidden="1"/>
    </xf>
    <xf numFmtId="0" fontId="10" fillId="0" borderId="31" xfId="0" applyFont="1" applyBorder="1" applyAlignment="1" applyProtection="1">
      <alignment vertical="center"/>
      <protection hidden="1"/>
    </xf>
    <xf numFmtId="164" fontId="10" fillId="15" borderId="31" xfId="0" applyNumberFormat="1" applyFont="1" applyFill="1" applyBorder="1" applyAlignment="1" applyProtection="1">
      <alignment vertical="center"/>
      <protection hidden="1"/>
    </xf>
    <xf numFmtId="0" fontId="24" fillId="0" borderId="33" xfId="0" applyFont="1" applyBorder="1" applyAlignment="1" applyProtection="1">
      <alignment vertical="center"/>
      <protection hidden="1"/>
    </xf>
    <xf numFmtId="14" fontId="10" fillId="15" borderId="31" xfId="0" applyNumberFormat="1" applyFont="1" applyFill="1" applyBorder="1" applyAlignment="1" applyProtection="1">
      <alignment vertical="center"/>
      <protection hidden="1"/>
    </xf>
    <xf numFmtId="0" fontId="24" fillId="0" borderId="0" xfId="0" applyFont="1" applyBorder="1" applyAlignment="1" applyProtection="1">
      <alignment vertical="center"/>
      <protection hidden="1"/>
    </xf>
    <xf numFmtId="14" fontId="10" fillId="0" borderId="88" xfId="0" applyNumberFormat="1" applyFont="1" applyFill="1" applyBorder="1" applyAlignment="1" applyProtection="1">
      <alignment vertical="center"/>
      <protection locked="0" hidden="1"/>
    </xf>
    <xf numFmtId="3" fontId="35" fillId="0" borderId="15" xfId="0" applyNumberFormat="1" applyFont="1" applyBorder="1" applyAlignment="1" applyProtection="1">
      <alignment horizontal="right" vertical="center"/>
    </xf>
    <xf numFmtId="3" fontId="35" fillId="0" borderId="17" xfId="0" applyNumberFormat="1" applyFont="1" applyBorder="1" applyAlignment="1" applyProtection="1">
      <alignment horizontal="right" vertical="center"/>
    </xf>
    <xf numFmtId="0" fontId="20" fillId="0" borderId="56" xfId="0" applyFont="1" applyBorder="1" applyAlignment="1">
      <alignment horizontal="center" vertical="center"/>
    </xf>
    <xf numFmtId="3" fontId="29" fillId="16" borderId="52" xfId="0" applyNumberFormat="1" applyFont="1" applyFill="1" applyBorder="1" applyAlignment="1" applyProtection="1">
      <alignment vertical="center"/>
      <protection locked="0"/>
    </xf>
    <xf numFmtId="3" fontId="29" fillId="16" borderId="53" xfId="0" applyNumberFormat="1" applyFont="1" applyFill="1" applyBorder="1" applyAlignment="1" applyProtection="1">
      <alignment vertical="center"/>
      <protection locked="0"/>
    </xf>
    <xf numFmtId="3" fontId="29" fillId="16" borderId="54" xfId="0" applyNumberFormat="1" applyFont="1" applyFill="1" applyBorder="1" applyAlignment="1" applyProtection="1">
      <alignment vertical="center"/>
      <protection locked="0"/>
    </xf>
    <xf numFmtId="0" fontId="2" fillId="0" borderId="8" xfId="0" applyNumberFormat="1" applyFont="1" applyFill="1" applyBorder="1" applyAlignment="1" applyProtection="1">
      <alignment horizontal="center" vertical="center" wrapText="1"/>
    </xf>
    <xf numFmtId="0" fontId="29" fillId="0" borderId="42" xfId="0" applyFont="1" applyBorder="1" applyAlignment="1">
      <alignment horizontal="center" vertical="center" wrapText="1"/>
    </xf>
    <xf numFmtId="0" fontId="12" fillId="0" borderId="0" xfId="0" applyFont="1" applyAlignment="1">
      <alignment vertical="center"/>
    </xf>
    <xf numFmtId="0" fontId="5" fillId="0" borderId="43" xfId="0" applyFont="1" applyBorder="1" applyAlignment="1">
      <alignment horizontal="center" vertical="center" wrapText="1"/>
    </xf>
    <xf numFmtId="0" fontId="0" fillId="0" borderId="11" xfId="0" applyBorder="1" applyAlignment="1">
      <alignment vertical="center"/>
    </xf>
    <xf numFmtId="0" fontId="0" fillId="0" borderId="40" xfId="0" applyBorder="1" applyAlignment="1">
      <alignment horizontal="center" vertical="center"/>
    </xf>
    <xf numFmtId="0" fontId="0" fillId="0" borderId="24" xfId="0" applyBorder="1" applyAlignment="1">
      <alignment vertical="center"/>
    </xf>
    <xf numFmtId="0" fontId="0" fillId="0" borderId="26" xfId="0" applyBorder="1" applyAlignment="1">
      <alignment vertical="center"/>
    </xf>
    <xf numFmtId="0" fontId="30" fillId="0" borderId="20" xfId="0" applyFont="1" applyBorder="1" applyAlignment="1">
      <alignment vertical="center" wrapText="1"/>
    </xf>
    <xf numFmtId="0" fontId="3" fillId="0" borderId="15" xfId="0" applyFont="1" applyBorder="1" applyAlignment="1">
      <alignment horizontal="center" vertical="center"/>
    </xf>
    <xf numFmtId="3" fontId="3" fillId="0" borderId="12"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0" fontId="0" fillId="0" borderId="13" xfId="0" applyBorder="1" applyAlignment="1">
      <alignment vertical="center"/>
    </xf>
    <xf numFmtId="0" fontId="0" fillId="0" borderId="14" xfId="0" applyBorder="1" applyAlignment="1">
      <alignment vertical="center"/>
    </xf>
    <xf numFmtId="0" fontId="3" fillId="0" borderId="10" xfId="0" applyFont="1" applyBorder="1" applyAlignment="1">
      <alignment vertical="center" wrapText="1"/>
    </xf>
    <xf numFmtId="0" fontId="0" fillId="0" borderId="6" xfId="0" applyBorder="1" applyAlignment="1">
      <alignment vertical="center"/>
    </xf>
    <xf numFmtId="0" fontId="3" fillId="0" borderId="16" xfId="0" applyFont="1" applyBorder="1" applyAlignment="1">
      <alignment horizontal="center" vertical="center"/>
    </xf>
    <xf numFmtId="3" fontId="3" fillId="0" borderId="9" xfId="0" applyNumberFormat="1" applyFont="1" applyFill="1" applyBorder="1" applyAlignment="1">
      <alignment horizontal="right" vertical="center" wrapText="1"/>
    </xf>
    <xf numFmtId="3" fontId="3" fillId="0" borderId="4" xfId="0" applyNumberFormat="1" applyFont="1" applyFill="1" applyBorder="1" applyAlignment="1">
      <alignment horizontal="right" vertical="center" wrapText="1"/>
    </xf>
    <xf numFmtId="3" fontId="3" fillId="0" borderId="5" xfId="0" applyNumberFormat="1" applyFont="1" applyFill="1" applyBorder="1" applyAlignment="1">
      <alignment horizontal="right" vertical="center" wrapText="1"/>
    </xf>
    <xf numFmtId="0" fontId="0" fillId="0" borderId="7"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0" xfId="0" applyFont="1" applyFill="1" applyBorder="1" applyAlignment="1" applyProtection="1">
      <alignment horizontal="left" vertical="center"/>
    </xf>
    <xf numFmtId="0" fontId="0" fillId="0" borderId="8" xfId="0" applyBorder="1" applyAlignment="1">
      <alignment vertical="center"/>
    </xf>
    <xf numFmtId="0" fontId="0" fillId="0" borderId="3" xfId="0" applyBorder="1" applyAlignment="1">
      <alignment vertical="center"/>
    </xf>
    <xf numFmtId="3" fontId="3" fillId="0" borderId="10" xfId="0" applyNumberFormat="1" applyFont="1" applyFill="1" applyBorder="1" applyAlignment="1">
      <alignment horizontal="right" vertical="center" wrapText="1"/>
    </xf>
    <xf numFmtId="3" fontId="3" fillId="0" borderId="3" xfId="0" applyNumberFormat="1" applyFont="1" applyFill="1" applyBorder="1" applyAlignment="1">
      <alignment horizontal="right" vertical="center" wrapText="1"/>
    </xf>
    <xf numFmtId="3" fontId="3" fillId="0" borderId="6" xfId="0" applyNumberFormat="1" applyFont="1" applyFill="1" applyBorder="1" applyAlignment="1">
      <alignment horizontal="right" vertical="center" wrapText="1"/>
    </xf>
    <xf numFmtId="3" fontId="3" fillId="0" borderId="11" xfId="0" applyNumberFormat="1" applyFont="1" applyFill="1" applyBorder="1" applyAlignment="1">
      <alignment horizontal="right" vertical="center" wrapText="1"/>
    </xf>
    <xf numFmtId="0" fontId="12" fillId="0" borderId="18" xfId="0" applyFont="1" applyBorder="1" applyAlignment="1">
      <alignment horizontal="right" vertical="center"/>
    </xf>
    <xf numFmtId="3" fontId="3" fillId="0" borderId="7" xfId="0" applyNumberFormat="1" applyFont="1" applyFill="1" applyBorder="1" applyAlignment="1">
      <alignment horizontal="right" vertical="center" wrapText="1"/>
    </xf>
    <xf numFmtId="0" fontId="12" fillId="0" borderId="7" xfId="0" applyFont="1" applyBorder="1" applyAlignment="1">
      <alignment horizontal="right" vertical="center"/>
    </xf>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12" fillId="0" borderId="0" xfId="0" applyFont="1" applyAlignment="1">
      <alignment horizontal="right" vertical="center"/>
    </xf>
    <xf numFmtId="0" fontId="12" fillId="0" borderId="0" xfId="0" applyFont="1" applyBorder="1" applyAlignment="1">
      <alignment vertical="center"/>
    </xf>
    <xf numFmtId="0" fontId="12" fillId="0" borderId="19" xfId="0" applyFont="1" applyBorder="1" applyAlignment="1">
      <alignment horizontal="right" vertical="center"/>
    </xf>
    <xf numFmtId="0" fontId="12" fillId="0" borderId="8" xfId="0" applyFont="1" applyBorder="1" applyAlignment="1">
      <alignment horizontal="right" vertical="center"/>
    </xf>
    <xf numFmtId="0" fontId="12" fillId="0" borderId="3" xfId="0" applyFont="1" applyBorder="1" applyAlignment="1">
      <alignment horizontal="right" vertical="center"/>
    </xf>
    <xf numFmtId="0" fontId="12" fillId="0" borderId="6" xfId="0" applyFont="1" applyBorder="1" applyAlignment="1">
      <alignment horizontal="right" vertical="center"/>
    </xf>
    <xf numFmtId="0" fontId="30" fillId="24" borderId="0" xfId="0" applyFont="1" applyFill="1" applyBorder="1" applyAlignment="1">
      <alignment vertical="center"/>
    </xf>
    <xf numFmtId="0" fontId="3" fillId="23" borderId="48" xfId="0" applyFont="1" applyFill="1" applyBorder="1" applyAlignment="1">
      <alignment vertical="center"/>
    </xf>
    <xf numFmtId="0" fontId="3" fillId="0" borderId="48" xfId="0" applyFont="1" applyBorder="1" applyAlignment="1">
      <alignment vertical="center"/>
    </xf>
    <xf numFmtId="0" fontId="12" fillId="25" borderId="48" xfId="0" applyFont="1" applyFill="1" applyBorder="1" applyAlignment="1">
      <alignment vertical="center"/>
    </xf>
    <xf numFmtId="0" fontId="12" fillId="0" borderId="48" xfId="0" applyFont="1" applyBorder="1" applyAlignment="1">
      <alignment vertical="center"/>
    </xf>
    <xf numFmtId="0" fontId="3" fillId="25" borderId="48" xfId="0" quotePrefix="1" applyFont="1" applyFill="1" applyBorder="1" applyAlignment="1">
      <alignment vertical="center"/>
    </xf>
    <xf numFmtId="0" fontId="12" fillId="26" borderId="0" xfId="0" applyFont="1" applyFill="1" applyBorder="1" applyAlignment="1">
      <alignment vertical="center"/>
    </xf>
    <xf numFmtId="0" fontId="3" fillId="22" borderId="46" xfId="0" applyFont="1" applyFill="1" applyBorder="1" applyAlignment="1">
      <alignment vertical="center"/>
    </xf>
    <xf numFmtId="0" fontId="3" fillId="0" borderId="46" xfId="0" applyFont="1" applyBorder="1" applyAlignment="1">
      <alignment vertical="center"/>
    </xf>
    <xf numFmtId="0" fontId="12" fillId="27" borderId="46" xfId="0" applyFont="1" applyFill="1" applyBorder="1" applyAlignment="1">
      <alignment vertical="center"/>
    </xf>
    <xf numFmtId="0" fontId="12" fillId="0" borderId="46" xfId="0" applyFont="1" applyBorder="1" applyAlignment="1">
      <alignment vertical="center"/>
    </xf>
    <xf numFmtId="0" fontId="12" fillId="25" borderId="0" xfId="0" applyFont="1" applyFill="1" applyBorder="1" applyAlignment="1">
      <alignment vertical="center"/>
    </xf>
    <xf numFmtId="0" fontId="12" fillId="28" borderId="0" xfId="0" applyFont="1" applyFill="1" applyBorder="1" applyAlignment="1">
      <alignment vertical="center"/>
    </xf>
    <xf numFmtId="0" fontId="12" fillId="27" borderId="0" xfId="0" applyFont="1" applyFill="1" applyBorder="1" applyAlignment="1">
      <alignment vertical="center"/>
    </xf>
    <xf numFmtId="0" fontId="30" fillId="23" borderId="48" xfId="0" applyFont="1" applyFill="1" applyBorder="1" applyAlignment="1">
      <alignment vertical="center"/>
    </xf>
    <xf numFmtId="0" fontId="30" fillId="22" borderId="46" xfId="0" applyFont="1" applyFill="1" applyBorder="1" applyAlignment="1">
      <alignment vertical="center"/>
    </xf>
    <xf numFmtId="0" fontId="30" fillId="0" borderId="0" xfId="0" applyFont="1" applyBorder="1" applyAlignment="1">
      <alignment vertical="center"/>
    </xf>
    <xf numFmtId="0" fontId="0" fillId="0" borderId="48" xfId="0" applyBorder="1"/>
    <xf numFmtId="0" fontId="0" fillId="0" borderId="0" xfId="0" applyBorder="1"/>
    <xf numFmtId="0" fontId="0" fillId="0" borderId="46" xfId="0" applyBorder="1"/>
    <xf numFmtId="0" fontId="3" fillId="22" borderId="18" xfId="0" applyFont="1" applyFill="1" applyBorder="1" applyAlignment="1">
      <alignment vertical="center"/>
    </xf>
    <xf numFmtId="0" fontId="3" fillId="0" borderId="18" xfId="0" applyFont="1" applyBorder="1" applyAlignment="1">
      <alignment vertical="center"/>
    </xf>
    <xf numFmtId="0" fontId="12" fillId="0" borderId="18" xfId="0" applyFont="1" applyBorder="1" applyAlignment="1">
      <alignment vertical="center"/>
    </xf>
    <xf numFmtId="0" fontId="12" fillId="27" borderId="18"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hidden="1"/>
    </xf>
    <xf numFmtId="0" fontId="2" fillId="0" borderId="0" xfId="0" applyFont="1" applyFill="1" applyBorder="1" applyAlignment="1" applyProtection="1">
      <alignment horizontal="center" vertical="center" wrapText="1"/>
    </xf>
    <xf numFmtId="0" fontId="4" fillId="0" borderId="47" xfId="0" applyFont="1" applyFill="1" applyBorder="1" applyAlignment="1" applyProtection="1">
      <alignment horizontal="center" vertical="center" wrapText="1"/>
    </xf>
    <xf numFmtId="0" fontId="4" fillId="0" borderId="41" xfId="12" applyFont="1" applyFill="1" applyBorder="1" applyAlignment="1" applyProtection="1">
      <alignment horizontal="center" vertical="center" wrapText="1"/>
    </xf>
    <xf numFmtId="0" fontId="4" fillId="0" borderId="41" xfId="0" applyFont="1" applyFill="1" applyBorder="1" applyAlignment="1" applyProtection="1">
      <alignment horizontal="center" vertical="center" wrapText="1"/>
    </xf>
    <xf numFmtId="0" fontId="4" fillId="0" borderId="64" xfId="0" applyFont="1" applyFill="1" applyBorder="1" applyAlignment="1" applyProtection="1">
      <alignment horizontal="center" vertical="center" wrapText="1"/>
    </xf>
    <xf numFmtId="0" fontId="32" fillId="12" borderId="36" xfId="0" applyFont="1" applyFill="1" applyBorder="1" applyAlignment="1" applyProtection="1">
      <alignment vertical="center" wrapText="1"/>
    </xf>
    <xf numFmtId="0" fontId="29" fillId="12" borderId="44" xfId="0" applyFont="1" applyFill="1" applyBorder="1" applyAlignment="1" applyProtection="1">
      <alignment vertical="center"/>
    </xf>
    <xf numFmtId="0" fontId="32" fillId="12" borderId="15" xfId="0" applyFont="1" applyFill="1" applyBorder="1" applyAlignment="1" applyProtection="1">
      <alignment horizontal="right" vertical="center" wrapText="1"/>
    </xf>
    <xf numFmtId="3" fontId="32" fillId="13" borderId="36" xfId="0" applyNumberFormat="1" applyFont="1" applyFill="1" applyBorder="1" applyAlignment="1" applyProtection="1">
      <alignment vertical="center"/>
      <protection hidden="1"/>
    </xf>
    <xf numFmtId="3" fontId="32" fillId="13" borderId="13" xfId="0" applyNumberFormat="1" applyFont="1" applyFill="1" applyBorder="1" applyAlignment="1" applyProtection="1">
      <alignment vertical="center"/>
      <protection hidden="1"/>
    </xf>
    <xf numFmtId="3" fontId="29" fillId="15" borderId="13" xfId="0" applyNumberFormat="1" applyFont="1" applyFill="1" applyBorder="1" applyAlignment="1" applyProtection="1">
      <alignment vertical="center"/>
      <protection hidden="1"/>
    </xf>
    <xf numFmtId="3" fontId="32" fillId="13" borderId="14" xfId="0" applyNumberFormat="1" applyFont="1" applyFill="1" applyBorder="1" applyAlignment="1" applyProtection="1">
      <alignment vertical="center"/>
      <protection hidden="1"/>
    </xf>
    <xf numFmtId="0" fontId="32" fillId="12" borderId="38" xfId="0" applyFont="1" applyFill="1" applyBorder="1" applyAlignment="1" applyProtection="1">
      <alignment vertical="center" wrapText="1"/>
    </xf>
    <xf numFmtId="0" fontId="32" fillId="12" borderId="19" xfId="0" applyFont="1" applyFill="1" applyBorder="1" applyAlignment="1" applyProtection="1">
      <alignment vertical="center"/>
    </xf>
    <xf numFmtId="0" fontId="32" fillId="12" borderId="65" xfId="0" applyFont="1" applyFill="1" applyBorder="1" applyAlignment="1" applyProtection="1">
      <alignment horizontal="right" vertical="center" wrapText="1"/>
    </xf>
    <xf numFmtId="3" fontId="32" fillId="13" borderId="22" xfId="0" applyNumberFormat="1" applyFont="1" applyFill="1" applyBorder="1" applyAlignment="1" applyProtection="1">
      <alignment vertical="center"/>
      <protection hidden="1"/>
    </xf>
    <xf numFmtId="3" fontId="32" fillId="15" borderId="38" xfId="0" applyNumberFormat="1" applyFont="1" applyFill="1" applyBorder="1" applyAlignment="1" applyProtection="1">
      <alignment vertical="center"/>
      <protection hidden="1"/>
    </xf>
    <xf numFmtId="3" fontId="32" fillId="13" borderId="8" xfId="0" applyNumberFormat="1" applyFont="1" applyFill="1" applyBorder="1" applyAlignment="1" applyProtection="1">
      <alignment vertical="center"/>
      <protection hidden="1"/>
    </xf>
    <xf numFmtId="3" fontId="32" fillId="13" borderId="3" xfId="0" applyNumberFormat="1" applyFont="1" applyFill="1" applyBorder="1" applyAlignment="1" applyProtection="1">
      <alignment vertical="center"/>
      <protection hidden="1"/>
    </xf>
    <xf numFmtId="3" fontId="32" fillId="15" borderId="3" xfId="0" applyNumberFormat="1" applyFont="1" applyFill="1" applyBorder="1" applyAlignment="1" applyProtection="1">
      <alignment vertical="center"/>
      <protection hidden="1"/>
    </xf>
    <xf numFmtId="3" fontId="32" fillId="15" borderId="6" xfId="0" applyNumberFormat="1" applyFont="1" applyFill="1" applyBorder="1" applyAlignment="1" applyProtection="1">
      <alignment vertical="center"/>
      <protection hidden="1"/>
    </xf>
    <xf numFmtId="0" fontId="32" fillId="0" borderId="0" xfId="0" applyFont="1" applyFill="1" applyBorder="1" applyAlignment="1" applyProtection="1">
      <alignment vertical="center"/>
      <protection hidden="1"/>
    </xf>
    <xf numFmtId="0" fontId="32" fillId="14" borderId="20" xfId="0" applyFont="1" applyFill="1" applyBorder="1" applyAlignment="1" applyProtection="1">
      <alignment horizontal="left" vertical="center"/>
      <protection locked="0" hidden="1"/>
    </xf>
    <xf numFmtId="0" fontId="29" fillId="15" borderId="32" xfId="0" applyFont="1" applyFill="1" applyBorder="1" applyAlignment="1" applyProtection="1">
      <alignment vertical="center"/>
      <protection hidden="1"/>
    </xf>
    <xf numFmtId="49" fontId="0" fillId="16" borderId="30" xfId="0" applyNumberFormat="1" applyFont="1" applyFill="1" applyBorder="1" applyAlignment="1" applyProtection="1">
      <alignment vertical="center"/>
      <protection locked="0"/>
    </xf>
    <xf numFmtId="3" fontId="29" fillId="15" borderId="15" xfId="0" applyNumberFormat="1" applyFont="1" applyFill="1" applyBorder="1" applyAlignment="1" applyProtection="1">
      <alignment vertical="center"/>
      <protection hidden="1"/>
    </xf>
    <xf numFmtId="3" fontId="29" fillId="0" borderId="69" xfId="0" applyNumberFormat="1" applyFont="1" applyFill="1" applyBorder="1" applyAlignment="1" applyProtection="1">
      <alignment vertical="center"/>
      <protection locked="0"/>
    </xf>
    <xf numFmtId="3" fontId="29" fillId="15" borderId="70" xfId="0" applyNumberFormat="1" applyFont="1" applyFill="1" applyBorder="1" applyAlignment="1" applyProtection="1">
      <alignment vertical="center"/>
      <protection hidden="1"/>
    </xf>
    <xf numFmtId="3" fontId="29" fillId="0" borderId="71" xfId="0" applyNumberFormat="1" applyFont="1" applyFill="1" applyBorder="1" applyAlignment="1" applyProtection="1">
      <alignment vertical="center"/>
      <protection locked="0"/>
    </xf>
    <xf numFmtId="3" fontId="29" fillId="15" borderId="24" xfId="0" applyNumberFormat="1" applyFont="1" applyFill="1" applyBorder="1" applyAlignment="1" applyProtection="1">
      <alignment vertical="center"/>
      <protection hidden="1"/>
    </xf>
    <xf numFmtId="0" fontId="32" fillId="14" borderId="21" xfId="0" applyFont="1" applyFill="1" applyBorder="1" applyAlignment="1" applyProtection="1">
      <alignment horizontal="left" vertical="center"/>
      <protection locked="0" hidden="1"/>
    </xf>
    <xf numFmtId="0" fontId="29" fillId="15" borderId="21" xfId="0" applyFont="1" applyFill="1" applyBorder="1" applyAlignment="1" applyProtection="1">
      <alignment vertical="center"/>
      <protection hidden="1"/>
    </xf>
    <xf numFmtId="49" fontId="29" fillId="16" borderId="27" xfId="0" applyNumberFormat="1" applyFont="1" applyFill="1" applyBorder="1" applyAlignment="1" applyProtection="1">
      <alignment vertical="center"/>
      <protection locked="0"/>
    </xf>
    <xf numFmtId="3" fontId="29" fillId="15" borderId="16" xfId="0" applyNumberFormat="1" applyFont="1" applyFill="1" applyBorder="1" applyAlignment="1" applyProtection="1">
      <alignment vertical="center"/>
      <protection hidden="1"/>
    </xf>
    <xf numFmtId="3" fontId="29" fillId="0" borderId="72" xfId="0" applyNumberFormat="1" applyFont="1" applyFill="1" applyBorder="1" applyAlignment="1" applyProtection="1">
      <alignment vertical="center"/>
      <protection locked="0"/>
    </xf>
    <xf numFmtId="3" fontId="29" fillId="15" borderId="4" xfId="0" applyNumberFormat="1" applyFont="1" applyFill="1" applyBorder="1" applyAlignment="1" applyProtection="1">
      <alignment vertical="center"/>
      <protection hidden="1"/>
    </xf>
    <xf numFmtId="3" fontId="29" fillId="0" borderId="73" xfId="0" applyNumberFormat="1" applyFont="1" applyFill="1" applyBorder="1" applyAlignment="1" applyProtection="1">
      <alignment vertical="center"/>
      <protection locked="0"/>
    </xf>
    <xf numFmtId="49" fontId="23" fillId="16" borderId="27" xfId="0" applyNumberFormat="1" applyFont="1" applyFill="1" applyBorder="1" applyAlignment="1" applyProtection="1">
      <alignment vertical="center"/>
      <protection locked="0"/>
    </xf>
    <xf numFmtId="0" fontId="32" fillId="14" borderId="22" xfId="0" applyFont="1" applyFill="1" applyBorder="1" applyAlignment="1" applyProtection="1">
      <alignment horizontal="left" vertical="center"/>
      <protection locked="0" hidden="1"/>
    </xf>
    <xf numFmtId="49" fontId="29" fillId="16" borderId="28" xfId="0" applyNumberFormat="1" applyFont="1" applyFill="1" applyBorder="1" applyAlignment="1" applyProtection="1">
      <alignment vertical="center"/>
      <protection locked="0"/>
    </xf>
    <xf numFmtId="3" fontId="29" fillId="15" borderId="17" xfId="0" applyNumberFormat="1" applyFont="1" applyFill="1" applyBorder="1" applyAlignment="1" applyProtection="1">
      <alignment vertical="center"/>
      <protection hidden="1"/>
    </xf>
    <xf numFmtId="3" fontId="29" fillId="0" borderId="74" xfId="0" applyNumberFormat="1" applyFont="1" applyFill="1" applyBorder="1" applyAlignment="1" applyProtection="1">
      <alignment vertical="center"/>
      <protection locked="0"/>
    </xf>
    <xf numFmtId="3" fontId="29" fillId="15" borderId="3" xfId="0" applyNumberFormat="1" applyFont="1" applyFill="1" applyBorder="1" applyAlignment="1" applyProtection="1">
      <alignment vertical="center"/>
      <protection hidden="1"/>
    </xf>
    <xf numFmtId="3" fontId="29" fillId="0" borderId="75" xfId="0" applyNumberFormat="1" applyFont="1" applyFill="1" applyBorder="1" applyAlignment="1" applyProtection="1">
      <alignment vertical="center"/>
      <protection locked="0"/>
    </xf>
    <xf numFmtId="0" fontId="38" fillId="0" borderId="0" xfId="12" applyFont="1" applyFill="1" applyBorder="1" applyAlignment="1" applyProtection="1">
      <alignment horizontal="left" vertical="center"/>
      <protection hidden="1"/>
    </xf>
    <xf numFmtId="0" fontId="9" fillId="0" borderId="0" xfId="0" applyFont="1" applyFill="1" applyBorder="1" applyAlignment="1" applyProtection="1">
      <alignment horizontal="left" vertical="center" wrapText="1"/>
    </xf>
    <xf numFmtId="0" fontId="9" fillId="0" borderId="0" xfId="0" applyFont="1" applyFill="1" applyBorder="1" applyAlignment="1" applyProtection="1">
      <alignment vertical="center" wrapText="1"/>
    </xf>
    <xf numFmtId="0" fontId="2" fillId="0" borderId="0" xfId="0" applyFont="1" applyFill="1" applyBorder="1" applyAlignment="1" applyProtection="1">
      <alignment vertical="center" wrapText="1"/>
      <protection hidden="1"/>
    </xf>
    <xf numFmtId="0" fontId="6" fillId="0" borderId="55" xfId="12" applyBorder="1" applyAlignment="1" applyProtection="1">
      <alignment vertical="top"/>
    </xf>
    <xf numFmtId="0" fontId="41" fillId="0" borderId="55" xfId="0" applyFont="1" applyBorder="1" applyAlignment="1">
      <alignment vertical="top" wrapText="1"/>
    </xf>
    <xf numFmtId="0" fontId="59" fillId="0" borderId="55" xfId="0" applyFont="1" applyBorder="1" applyAlignment="1">
      <alignment vertical="center"/>
    </xf>
    <xf numFmtId="0" fontId="41" fillId="0" borderId="55" xfId="0" applyFont="1" applyBorder="1" applyAlignment="1">
      <alignment vertical="center"/>
    </xf>
    <xf numFmtId="0" fontId="41" fillId="0" borderId="55" xfId="0" applyFont="1" applyBorder="1" applyAlignment="1">
      <alignment vertical="top" wrapText="1"/>
    </xf>
    <xf numFmtId="0" fontId="61" fillId="0" borderId="55" xfId="0" applyFont="1" applyBorder="1" applyAlignment="1">
      <alignment vertical="top" wrapText="1"/>
    </xf>
    <xf numFmtId="0" fontId="39" fillId="0" borderId="55" xfId="0" applyFont="1" applyBorder="1" applyAlignment="1">
      <alignment horizontal="left" vertical="top" wrapText="1"/>
    </xf>
    <xf numFmtId="0" fontId="41" fillId="0" borderId="55" xfId="0" applyFont="1" applyBorder="1" applyAlignment="1">
      <alignment horizontal="left" vertical="top" wrapText="1"/>
    </xf>
    <xf numFmtId="0" fontId="50" fillId="0" borderId="55" xfId="0" applyFont="1" applyBorder="1" applyAlignment="1">
      <alignment horizontal="left" vertical="top" wrapText="1"/>
    </xf>
    <xf numFmtId="0" fontId="42" fillId="0" borderId="55" xfId="0" applyFont="1" applyBorder="1" applyAlignment="1">
      <alignment vertical="top" wrapText="1"/>
    </xf>
    <xf numFmtId="0" fontId="44" fillId="0" borderId="55" xfId="12" applyFont="1" applyBorder="1" applyAlignment="1" applyProtection="1">
      <alignment horizontal="center" vertical="top"/>
    </xf>
    <xf numFmtId="0" fontId="10" fillId="0" borderId="81" xfId="0" applyFont="1" applyFill="1" applyBorder="1" applyAlignment="1" applyProtection="1">
      <alignment vertical="center" shrinkToFit="1"/>
      <protection locked="0"/>
    </xf>
    <xf numFmtId="0" fontId="10" fillId="0" borderId="82" xfId="0" applyFont="1" applyFill="1" applyBorder="1" applyAlignment="1" applyProtection="1">
      <alignment vertical="center" shrinkToFit="1"/>
      <protection locked="0"/>
    </xf>
    <xf numFmtId="0" fontId="10" fillId="0" borderId="83" xfId="0" applyFont="1" applyFill="1" applyBorder="1" applyAlignment="1" applyProtection="1">
      <alignment vertical="center" shrinkToFit="1"/>
      <protection locked="0"/>
    </xf>
    <xf numFmtId="0" fontId="45" fillId="0" borderId="63" xfId="14" applyFont="1" applyBorder="1" applyAlignment="1">
      <alignment horizontal="center"/>
    </xf>
    <xf numFmtId="0" fontId="45" fillId="0" borderId="29" xfId="14" applyFont="1" applyBorder="1" applyAlignment="1">
      <alignment horizontal="center"/>
    </xf>
    <xf numFmtId="0" fontId="45" fillId="0" borderId="43" xfId="14" applyFont="1" applyBorder="1" applyAlignment="1">
      <alignment horizontal="center"/>
    </xf>
    <xf numFmtId="0" fontId="48" fillId="0" borderId="42" xfId="14" applyFont="1" applyFill="1" applyBorder="1" applyAlignment="1">
      <alignment horizontal="left" wrapText="1"/>
    </xf>
    <xf numFmtId="0" fontId="48" fillId="0" borderId="48" xfId="14" applyFont="1" applyFill="1" applyBorder="1" applyAlignment="1">
      <alignment horizontal="left" wrapText="1"/>
    </xf>
    <xf numFmtId="0" fontId="48" fillId="0" borderId="47" xfId="14" applyFont="1" applyFill="1" applyBorder="1" applyAlignment="1">
      <alignment horizontal="left" wrapText="1"/>
    </xf>
    <xf numFmtId="0" fontId="48" fillId="0" borderId="49" xfId="14" applyFont="1" applyFill="1" applyBorder="1" applyAlignment="1">
      <alignment horizontal="left" wrapText="1"/>
    </xf>
    <xf numFmtId="0" fontId="48" fillId="0" borderId="0" xfId="14" applyFont="1" applyFill="1" applyBorder="1" applyAlignment="1">
      <alignment horizontal="left" wrapText="1"/>
    </xf>
    <xf numFmtId="0" fontId="48" fillId="0" borderId="50" xfId="14" applyFont="1" applyFill="1" applyBorder="1" applyAlignment="1">
      <alignment horizontal="left" wrapText="1"/>
    </xf>
    <xf numFmtId="0" fontId="52" fillId="0" borderId="51" xfId="14" applyBorder="1" applyAlignment="1"/>
    <xf numFmtId="0" fontId="52" fillId="0" borderId="46" xfId="14" applyBorder="1" applyAlignment="1"/>
    <xf numFmtId="0" fontId="52" fillId="0" borderId="45" xfId="14" applyBorder="1" applyAlignment="1"/>
    <xf numFmtId="0" fontId="52" fillId="0" borderId="95" xfId="14" applyBorder="1" applyAlignment="1" applyProtection="1">
      <alignment horizontal="left"/>
      <protection locked="0"/>
    </xf>
    <xf numFmtId="0" fontId="52" fillId="0" borderId="96" xfId="14" applyBorder="1" applyAlignment="1" applyProtection="1">
      <alignment horizontal="left"/>
      <protection locked="0"/>
    </xf>
    <xf numFmtId="0" fontId="52" fillId="0" borderId="97" xfId="14" applyBorder="1" applyAlignment="1" applyProtection="1">
      <alignment horizontal="left"/>
      <protection locked="0"/>
    </xf>
    <xf numFmtId="49" fontId="2" fillId="0" borderId="60"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center" vertical="center" wrapText="1"/>
    </xf>
    <xf numFmtId="49" fontId="2" fillId="0" borderId="60"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49" fontId="2" fillId="0" borderId="63" xfId="0" applyNumberFormat="1" applyFont="1" applyFill="1" applyBorder="1" applyAlignment="1" applyProtection="1">
      <alignment horizontal="center" vertical="center" wrapText="1"/>
    </xf>
    <xf numFmtId="49" fontId="2" fillId="0" borderId="43" xfId="0" applyNumberFormat="1" applyFont="1" applyFill="1" applyBorder="1" applyAlignment="1" applyProtection="1">
      <alignment horizontal="center" vertical="center" wrapText="1"/>
    </xf>
    <xf numFmtId="3" fontId="2" fillId="0" borderId="60" xfId="0" applyNumberFormat="1" applyFont="1" applyBorder="1" applyAlignment="1" applyProtection="1">
      <alignment horizontal="center" vertical="center" wrapText="1"/>
    </xf>
    <xf numFmtId="3" fontId="2" fillId="0" borderId="35" xfId="0" applyNumberFormat="1" applyFont="1" applyBorder="1" applyAlignment="1" applyProtection="1">
      <alignment horizontal="center" vertical="center" wrapText="1"/>
    </xf>
    <xf numFmtId="0" fontId="2" fillId="0" borderId="60" xfId="0" applyNumberFormat="1" applyFont="1" applyBorder="1" applyAlignment="1" applyProtection="1">
      <alignment horizontal="center" vertical="center" wrapText="1"/>
    </xf>
    <xf numFmtId="0" fontId="2" fillId="0" borderId="35" xfId="0" applyNumberFormat="1" applyFont="1" applyBorder="1" applyAlignment="1" applyProtection="1">
      <alignment horizontal="center" vertical="center" wrapText="1"/>
    </xf>
    <xf numFmtId="1" fontId="2" fillId="0" borderId="60" xfId="0" applyNumberFormat="1" applyFont="1" applyBorder="1" applyAlignment="1" applyProtection="1">
      <alignment horizontal="center" vertical="center" wrapText="1"/>
    </xf>
    <xf numFmtId="1" fontId="2" fillId="0" borderId="35" xfId="0" applyNumberFormat="1" applyFont="1" applyBorder="1" applyAlignment="1" applyProtection="1">
      <alignment horizontal="center" vertical="center" wrapText="1"/>
    </xf>
    <xf numFmtId="0" fontId="2" fillId="0" borderId="56" xfId="0" applyFont="1" applyFill="1" applyBorder="1" applyAlignment="1" applyProtection="1">
      <alignment horizontal="center" vertical="center" wrapText="1"/>
    </xf>
    <xf numFmtId="0" fontId="2" fillId="0" borderId="58" xfId="0" applyFont="1" applyFill="1" applyBorder="1" applyAlignment="1" applyProtection="1">
      <alignment horizontal="center" vertical="center" wrapText="1"/>
    </xf>
    <xf numFmtId="0" fontId="2" fillId="0" borderId="59"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60"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84"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60"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53" fillId="21" borderId="84" xfId="0" applyFont="1" applyFill="1" applyBorder="1" applyAlignment="1" applyProtection="1">
      <alignment horizontal="center" vertical="center" wrapText="1"/>
      <protection hidden="1"/>
    </xf>
    <xf numFmtId="0" fontId="53" fillId="21" borderId="85" xfId="0" applyFont="1" applyFill="1" applyBorder="1" applyAlignment="1" applyProtection="1">
      <alignment horizontal="center" vertical="center" wrapText="1"/>
      <protection hidden="1"/>
    </xf>
    <xf numFmtId="0" fontId="53" fillId="21" borderId="86" xfId="0" applyFont="1" applyFill="1" applyBorder="1" applyAlignment="1" applyProtection="1">
      <alignment horizontal="center" vertical="center" wrapText="1"/>
      <protection hidden="1"/>
    </xf>
    <xf numFmtId="0" fontId="53" fillId="21" borderId="65" xfId="0" applyFont="1" applyFill="1" applyBorder="1" applyAlignment="1" applyProtection="1">
      <alignment horizontal="center" vertical="center" wrapText="1"/>
      <protection hidden="1"/>
    </xf>
    <xf numFmtId="0" fontId="2" fillId="0" borderId="36" xfId="0" applyNumberFormat="1" applyFont="1" applyBorder="1" applyAlignment="1" applyProtection="1">
      <alignment horizontal="center" vertical="center" wrapText="1"/>
    </xf>
    <xf numFmtId="0" fontId="2" fillId="0" borderId="15" xfId="0" applyNumberFormat="1" applyFont="1" applyBorder="1" applyAlignment="1" applyProtection="1">
      <alignment horizontal="center" vertical="center" wrapText="1"/>
    </xf>
    <xf numFmtId="3" fontId="53" fillId="21" borderId="86" xfId="0" applyNumberFormat="1" applyFont="1" applyFill="1" applyBorder="1" applyAlignment="1" applyProtection="1">
      <alignment horizontal="center" vertical="center"/>
    </xf>
    <xf numFmtId="3" fontId="53" fillId="21" borderId="66" xfId="0" applyNumberFormat="1" applyFont="1" applyFill="1" applyBorder="1" applyAlignment="1" applyProtection="1">
      <alignment horizontal="center" vertical="center"/>
    </xf>
    <xf numFmtId="3" fontId="53" fillId="21" borderId="65" xfId="0" applyNumberFormat="1" applyFont="1" applyFill="1" applyBorder="1" applyAlignment="1" applyProtection="1">
      <alignment horizontal="center" vertical="center"/>
    </xf>
    <xf numFmtId="3" fontId="53" fillId="21" borderId="84" xfId="0" applyNumberFormat="1" applyFont="1" applyFill="1" applyBorder="1" applyAlignment="1" applyProtection="1">
      <alignment horizontal="center" vertical="center"/>
    </xf>
    <xf numFmtId="3" fontId="53" fillId="21" borderId="67" xfId="0" applyNumberFormat="1" applyFont="1" applyFill="1" applyBorder="1" applyAlignment="1" applyProtection="1">
      <alignment horizontal="center" vertical="center"/>
    </xf>
    <xf numFmtId="3" fontId="53" fillId="21" borderId="85" xfId="0" applyNumberFormat="1" applyFont="1" applyFill="1" applyBorder="1" applyAlignment="1" applyProtection="1">
      <alignment horizontal="center" vertical="center"/>
    </xf>
    <xf numFmtId="3" fontId="2" fillId="0" borderId="60" xfId="0" applyNumberFormat="1" applyFont="1" applyFill="1" applyBorder="1" applyAlignment="1" applyProtection="1">
      <alignment horizontal="center" vertical="center" wrapText="1"/>
    </xf>
    <xf numFmtId="3" fontId="2" fillId="0" borderId="35" xfId="0" applyNumberFormat="1" applyFont="1" applyFill="1" applyBorder="1" applyAlignment="1" applyProtection="1">
      <alignment horizontal="center" vertical="center" wrapText="1"/>
    </xf>
    <xf numFmtId="3" fontId="2" fillId="0" borderId="84" xfId="0" applyNumberFormat="1" applyFont="1" applyBorder="1" applyAlignment="1" applyProtection="1">
      <alignment horizontal="center" vertical="center" wrapText="1"/>
    </xf>
    <xf numFmtId="3" fontId="2" fillId="0" borderId="85" xfId="0" applyNumberFormat="1" applyFont="1" applyBorder="1" applyAlignment="1" applyProtection="1">
      <alignment horizontal="center" vertical="center" wrapText="1"/>
    </xf>
    <xf numFmtId="3" fontId="2" fillId="0" borderId="86" xfId="0" applyNumberFormat="1" applyFont="1" applyBorder="1" applyAlignment="1" applyProtection="1">
      <alignment horizontal="center" vertical="center" wrapText="1"/>
    </xf>
    <xf numFmtId="3" fontId="2" fillId="0" borderId="65" xfId="0" applyNumberFormat="1" applyFont="1" applyBorder="1" applyAlignment="1" applyProtection="1">
      <alignment horizontal="center" vertical="center" wrapText="1"/>
    </xf>
    <xf numFmtId="3" fontId="2" fillId="0" borderId="84" xfId="0" applyNumberFormat="1" applyFont="1" applyFill="1" applyBorder="1" applyAlignment="1" applyProtection="1">
      <alignment horizontal="center" vertical="center" wrapText="1"/>
    </xf>
    <xf numFmtId="3" fontId="2" fillId="0" borderId="85" xfId="0" applyNumberFormat="1" applyFont="1" applyFill="1" applyBorder="1" applyAlignment="1" applyProtection="1">
      <alignment horizontal="center" vertical="center" wrapText="1"/>
    </xf>
    <xf numFmtId="3" fontId="2" fillId="0" borderId="86" xfId="0" applyNumberFormat="1" applyFont="1" applyFill="1" applyBorder="1" applyAlignment="1" applyProtection="1">
      <alignment horizontal="center" vertical="center" wrapText="1"/>
    </xf>
    <xf numFmtId="3" fontId="2" fillId="0" borderId="65"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49" fontId="2" fillId="0" borderId="61" xfId="0" applyNumberFormat="1" applyFont="1" applyBorder="1" applyAlignment="1" applyProtection="1">
      <alignment horizontal="center" vertical="center" wrapText="1"/>
    </xf>
    <xf numFmtId="49" fontId="2" fillId="0" borderId="25" xfId="0" applyNumberFormat="1" applyFont="1" applyBorder="1" applyAlignment="1" applyProtection="1">
      <alignment horizontal="center" vertical="center" wrapText="1"/>
    </xf>
    <xf numFmtId="0" fontId="2" fillId="0" borderId="79" xfId="0" applyNumberFormat="1" applyFont="1" applyBorder="1" applyAlignment="1" applyProtection="1">
      <alignment horizontal="center" vertical="center" wrapText="1"/>
    </xf>
    <xf numFmtId="0" fontId="2" fillId="0" borderId="26" xfId="0" applyNumberFormat="1" applyFont="1" applyBorder="1" applyAlignment="1" applyProtection="1">
      <alignment horizontal="center" vertical="center" wrapText="1"/>
    </xf>
    <xf numFmtId="0" fontId="2" fillId="0" borderId="84" xfId="0" applyNumberFormat="1" applyFont="1" applyBorder="1" applyAlignment="1" applyProtection="1">
      <alignment horizontal="center" vertical="center" wrapText="1"/>
    </xf>
    <xf numFmtId="0" fontId="2" fillId="0" borderId="67" xfId="0" applyNumberFormat="1" applyFont="1" applyBorder="1" applyAlignment="1" applyProtection="1">
      <alignment horizontal="center" vertical="center" wrapText="1"/>
    </xf>
    <xf numFmtId="0" fontId="2" fillId="0" borderId="85" xfId="0" applyNumberFormat="1" applyFont="1" applyBorder="1" applyAlignment="1" applyProtection="1">
      <alignment horizontal="center" vertical="center" wrapText="1"/>
    </xf>
    <xf numFmtId="0" fontId="56" fillId="0" borderId="89" xfId="0" applyFont="1" applyFill="1" applyBorder="1" applyAlignment="1" applyProtection="1">
      <alignment horizontal="center" vertical="center" wrapText="1"/>
    </xf>
    <xf numFmtId="0" fontId="56" fillId="0" borderId="90" xfId="0" applyFont="1" applyFill="1" applyBorder="1" applyAlignment="1" applyProtection="1">
      <alignment horizontal="center" vertical="center" wrapText="1"/>
    </xf>
    <xf numFmtId="0" fontId="56" fillId="0" borderId="91" xfId="0" applyFont="1" applyFill="1" applyBorder="1" applyAlignment="1" applyProtection="1">
      <alignment horizontal="center" vertical="center" wrapText="1"/>
    </xf>
    <xf numFmtId="0" fontId="56" fillId="0" borderId="92" xfId="0" applyFont="1" applyFill="1" applyBorder="1" applyAlignment="1" applyProtection="1">
      <alignment horizontal="center" vertical="center" wrapText="1"/>
    </xf>
    <xf numFmtId="0" fontId="56" fillId="0" borderId="93" xfId="0" applyFont="1" applyFill="1" applyBorder="1" applyAlignment="1" applyProtection="1">
      <alignment horizontal="center" vertical="center" wrapText="1"/>
    </xf>
    <xf numFmtId="0" fontId="56" fillId="0" borderId="94" xfId="0" applyFont="1" applyFill="1" applyBorder="1" applyAlignment="1" applyProtection="1">
      <alignment horizontal="center" vertical="center" wrapText="1"/>
    </xf>
    <xf numFmtId="3" fontId="54" fillId="19" borderId="84" xfId="0" applyNumberFormat="1" applyFont="1" applyFill="1" applyBorder="1" applyAlignment="1" applyProtection="1">
      <alignment horizontal="center" vertical="center" wrapText="1"/>
    </xf>
    <xf numFmtId="3" fontId="54" fillId="19" borderId="67" xfId="0" applyNumberFormat="1" applyFont="1" applyFill="1" applyBorder="1" applyAlignment="1" applyProtection="1">
      <alignment horizontal="center" vertical="center" wrapText="1"/>
    </xf>
    <xf numFmtId="3" fontId="54" fillId="19" borderId="85" xfId="0" applyNumberFormat="1" applyFont="1" applyFill="1" applyBorder="1" applyAlignment="1" applyProtection="1">
      <alignment horizontal="center" vertical="center" wrapText="1"/>
    </xf>
    <xf numFmtId="3" fontId="54" fillId="19" borderId="86" xfId="0" applyNumberFormat="1" applyFont="1" applyFill="1" applyBorder="1" applyAlignment="1" applyProtection="1">
      <alignment horizontal="center" vertical="center" wrapText="1"/>
    </xf>
    <xf numFmtId="3" fontId="54" fillId="19" borderId="66" xfId="0" applyNumberFormat="1" applyFont="1" applyFill="1" applyBorder="1" applyAlignment="1" applyProtection="1">
      <alignment horizontal="center" vertical="center" wrapText="1"/>
    </xf>
    <xf numFmtId="3" fontId="54" fillId="19" borderId="65" xfId="0" applyNumberFormat="1" applyFont="1" applyFill="1" applyBorder="1" applyAlignment="1" applyProtection="1">
      <alignment horizontal="center" vertical="center" wrapText="1"/>
    </xf>
    <xf numFmtId="0" fontId="5" fillId="0" borderId="0" xfId="0" applyFont="1" applyFill="1" applyBorder="1" applyAlignment="1" applyProtection="1">
      <alignment wrapText="1"/>
    </xf>
    <xf numFmtId="0" fontId="33" fillId="15" borderId="0" xfId="0" applyFont="1" applyFill="1" applyBorder="1" applyAlignment="1" applyProtection="1">
      <alignment horizontal="left"/>
      <protection hidden="1"/>
    </xf>
    <xf numFmtId="0" fontId="2" fillId="0" borderId="63"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43" xfId="0" applyFont="1" applyBorder="1" applyAlignment="1" applyProtection="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32" fillId="0" borderId="39"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12"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79" xfId="0" applyFont="1" applyBorder="1" applyAlignment="1">
      <alignment horizontal="center" vertical="center" wrapText="1"/>
    </xf>
    <xf numFmtId="0" fontId="5" fillId="0" borderId="0" xfId="0" applyFont="1" applyFill="1" applyBorder="1" applyAlignment="1">
      <alignment horizontal="center" vertical="center"/>
    </xf>
    <xf numFmtId="0" fontId="33" fillId="0" borderId="56" xfId="0" applyFont="1" applyBorder="1" applyAlignment="1">
      <alignment horizontal="center" vertical="center" wrapText="1"/>
    </xf>
    <xf numFmtId="0" fontId="33" fillId="0" borderId="59" xfId="0" applyFont="1" applyBorder="1" applyAlignment="1">
      <alignment horizontal="center" vertical="center" wrapText="1"/>
    </xf>
    <xf numFmtId="0" fontId="20" fillId="0" borderId="60" xfId="0" applyFont="1" applyBorder="1" applyAlignment="1">
      <alignment horizontal="center" vertical="center" textRotation="180"/>
    </xf>
    <xf numFmtId="0" fontId="20" fillId="0" borderId="87" xfId="0" applyFont="1" applyBorder="1" applyAlignment="1">
      <alignment horizontal="center" vertical="center" textRotation="180"/>
    </xf>
    <xf numFmtId="0" fontId="20" fillId="0" borderId="35" xfId="0" applyFont="1" applyBorder="1" applyAlignment="1">
      <alignment horizontal="center" vertical="center" textRotation="180"/>
    </xf>
    <xf numFmtId="0" fontId="5" fillId="21" borderId="36" xfId="0" applyFont="1" applyFill="1" applyBorder="1" applyAlignment="1">
      <alignment horizontal="center" vertical="center" wrapText="1"/>
    </xf>
    <xf numFmtId="0" fontId="5" fillId="21" borderId="15" xfId="0" applyFont="1" applyFill="1" applyBorder="1" applyAlignment="1">
      <alignment horizontal="center" vertical="center" wrapText="1"/>
    </xf>
    <xf numFmtId="0" fontId="3" fillId="0" borderId="66" xfId="0" applyFont="1" applyBorder="1" applyAlignment="1">
      <alignment vertical="center" wrapText="1"/>
    </xf>
    <xf numFmtId="3" fontId="22" fillId="0" borderId="60" xfId="0" applyNumberFormat="1" applyFont="1" applyFill="1" applyBorder="1" applyAlignment="1">
      <alignment horizontal="center" vertical="center" textRotation="180"/>
    </xf>
    <xf numFmtId="3" fontId="22" fillId="0" borderId="87" xfId="0" applyNumberFormat="1" applyFont="1" applyFill="1" applyBorder="1" applyAlignment="1">
      <alignment horizontal="center" vertical="center" textRotation="180"/>
    </xf>
    <xf numFmtId="3" fontId="22" fillId="0" borderId="35" xfId="0" applyNumberFormat="1" applyFont="1" applyFill="1" applyBorder="1" applyAlignment="1">
      <alignment horizontal="center" vertical="center" textRotation="180"/>
    </xf>
    <xf numFmtId="0" fontId="5" fillId="0" borderId="56" xfId="0" applyFont="1" applyBorder="1" applyAlignment="1">
      <alignment horizontal="center" vertical="center"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3" fillId="0" borderId="0" xfId="0" applyFont="1" applyAlignment="1">
      <alignment horizontal="left" vertical="center" wrapText="1"/>
    </xf>
  </cellXfs>
  <cellStyles count="15">
    <cellStyle name="Accent1" xfId="1"/>
    <cellStyle name="Accent2" xfId="2"/>
    <cellStyle name="Accent3" xfId="3"/>
    <cellStyle name="Accent4" xfId="4"/>
    <cellStyle name="Accent5" xfId="5"/>
    <cellStyle name="Accent6" xfId="6"/>
    <cellStyle name="Bad" xfId="7"/>
    <cellStyle name="Calculation" xfId="8"/>
    <cellStyle name="Check Cell" xfId="9"/>
    <cellStyle name="Explanatory Text" xfId="10"/>
    <cellStyle name="Good" xfId="11"/>
    <cellStyle name="Hivatkozás" xfId="12" builtinId="8"/>
    <cellStyle name="Neutral" xfId="13"/>
    <cellStyle name="Normál" xfId="0" builtinId="0"/>
    <cellStyle name="Normal 2" xfId="14"/>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theme="0"/>
        </patternFill>
      </fill>
    </dxf>
    <dxf>
      <fill>
        <patternFill>
          <bgColor rgb="FFFF0000"/>
        </patternFill>
      </fill>
    </dxf>
    <dxf>
      <fill>
        <patternFill patternType="solid">
          <bgColor theme="0"/>
        </patternFill>
      </fill>
    </dxf>
    <dxf>
      <fill>
        <patternFill patternType="solid">
          <bgColor theme="0"/>
        </patternFill>
      </fill>
    </dxf>
    <dxf>
      <fill>
        <patternFill>
          <bgColor rgb="FFFF0000"/>
        </patternFill>
      </fill>
    </dxf>
    <dxf>
      <fill>
        <patternFill patternType="solid">
          <bgColor theme="0"/>
        </patternFill>
      </fill>
    </dxf>
    <dxf>
      <fill>
        <patternFill patternType="solid">
          <bgColor theme="0"/>
        </patternFill>
      </fill>
    </dxf>
    <dxf>
      <fill>
        <patternFill patternType="solid">
          <bgColor theme="0"/>
        </patternFill>
      </fill>
    </dxf>
    <dxf>
      <fill>
        <patternFill>
          <bgColor rgb="FFFF0000"/>
        </patternFill>
      </fill>
    </dxf>
    <dxf>
      <fill>
        <patternFill patternType="solid">
          <bgColor theme="0"/>
        </patternFill>
      </fill>
    </dxf>
    <dxf>
      <fill>
        <patternFill patternType="solid">
          <bgColor theme="0"/>
        </patternFill>
      </fill>
    </dxf>
    <dxf>
      <fill>
        <patternFill>
          <bgColor rgb="FFFF0000"/>
        </patternFill>
      </fill>
    </dxf>
    <dxf>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c.europa.eu/programmes/erasmus-plus/tools/distance_en.htm"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52"/>
  <sheetViews>
    <sheetView tabSelected="1" zoomScaleNormal="100" workbookViewId="0">
      <selection sqref="A1:M1"/>
    </sheetView>
  </sheetViews>
  <sheetFormatPr defaultColWidth="10.85546875" defaultRowHeight="12.75"/>
  <cols>
    <col min="1" max="1" width="2.7109375" style="175" customWidth="1"/>
    <col min="2" max="3" width="10.85546875" style="175"/>
    <col min="4" max="4" width="6.28515625" style="175" customWidth="1"/>
    <col min="5" max="12" width="10.85546875" style="175"/>
    <col min="13" max="13" width="21.85546875" style="175" customWidth="1"/>
    <col min="14" max="16384" width="10.85546875" style="175"/>
  </cols>
  <sheetData>
    <row r="1" spans="1:13" ht="38.1" customHeight="1">
      <c r="A1" s="458" t="s">
        <v>501</v>
      </c>
      <c r="B1" s="458"/>
      <c r="C1" s="458"/>
      <c r="D1" s="458"/>
      <c r="E1" s="458"/>
      <c r="F1" s="458"/>
      <c r="G1" s="458"/>
      <c r="H1" s="458"/>
      <c r="I1" s="458"/>
      <c r="J1" s="458"/>
      <c r="K1" s="458"/>
      <c r="L1" s="458"/>
      <c r="M1" s="458"/>
    </row>
    <row r="2" spans="1:13" ht="15.75">
      <c r="A2" s="458" t="s">
        <v>346</v>
      </c>
      <c r="B2" s="458"/>
      <c r="C2" s="458"/>
      <c r="D2" s="458"/>
      <c r="E2" s="458"/>
      <c r="F2" s="458"/>
      <c r="G2" s="458"/>
      <c r="H2" s="458"/>
      <c r="I2" s="458"/>
      <c r="J2" s="458"/>
      <c r="K2" s="458"/>
      <c r="L2" s="458"/>
      <c r="M2" s="458"/>
    </row>
    <row r="4" spans="1:13">
      <c r="A4" s="176" t="s">
        <v>345</v>
      </c>
    </row>
    <row r="5" spans="1:13" ht="146.1" customHeight="1">
      <c r="A5" s="176"/>
      <c r="B5" s="459" t="s">
        <v>486</v>
      </c>
      <c r="C5" s="459"/>
      <c r="D5" s="459"/>
      <c r="E5" s="459"/>
      <c r="F5" s="459"/>
      <c r="G5" s="459"/>
      <c r="H5" s="459"/>
      <c r="I5" s="459"/>
      <c r="J5" s="459"/>
      <c r="K5" s="459"/>
      <c r="L5" s="459"/>
      <c r="M5" s="459"/>
    </row>
    <row r="6" spans="1:13" ht="15.95" customHeight="1">
      <c r="A6" s="176"/>
      <c r="B6" s="460" t="s">
        <v>433</v>
      </c>
      <c r="C6" s="460"/>
      <c r="D6" s="460"/>
      <c r="E6" s="460"/>
      <c r="F6" s="460"/>
      <c r="G6" s="460"/>
      <c r="H6" s="460"/>
      <c r="I6" s="460"/>
      <c r="J6" s="460"/>
      <c r="K6" s="460"/>
      <c r="L6" s="460"/>
      <c r="M6" s="460"/>
    </row>
    <row r="7" spans="1:13" ht="18.95" customHeight="1">
      <c r="B7" s="175" t="s">
        <v>351</v>
      </c>
    </row>
    <row r="8" spans="1:13" ht="20.100000000000001" customHeight="1">
      <c r="B8" s="175" t="s">
        <v>426</v>
      </c>
    </row>
    <row r="9" spans="1:13" ht="20.100000000000001" customHeight="1">
      <c r="B9" s="175" t="s">
        <v>487</v>
      </c>
    </row>
    <row r="10" spans="1:13" ht="18.95" customHeight="1">
      <c r="B10" s="175" t="s">
        <v>441</v>
      </c>
    </row>
    <row r="11" spans="1:13">
      <c r="B11" s="175" t="s">
        <v>442</v>
      </c>
    </row>
    <row r="12" spans="1:13" ht="16.5" customHeight="1"/>
    <row r="13" spans="1:13">
      <c r="A13" s="176" t="s">
        <v>488</v>
      </c>
      <c r="B13" s="176" t="s">
        <v>412</v>
      </c>
    </row>
    <row r="14" spans="1:13">
      <c r="B14" s="175" t="s">
        <v>450</v>
      </c>
    </row>
    <row r="15" spans="1:13">
      <c r="B15" s="178" t="s">
        <v>443</v>
      </c>
    </row>
    <row r="16" spans="1:13">
      <c r="B16" s="175" t="s">
        <v>444</v>
      </c>
    </row>
    <row r="17" spans="1:13">
      <c r="B17" s="177" t="s">
        <v>489</v>
      </c>
      <c r="C17" s="177"/>
    </row>
    <row r="18" spans="1:13">
      <c r="B18" s="178"/>
    </row>
    <row r="19" spans="1:13">
      <c r="A19" s="176" t="s">
        <v>413</v>
      </c>
      <c r="B19" s="176" t="s">
        <v>490</v>
      </c>
      <c r="C19" s="176"/>
      <c r="D19" s="176"/>
      <c r="F19" s="452"/>
      <c r="G19" s="452"/>
      <c r="H19" s="452"/>
      <c r="I19" s="452"/>
      <c r="J19" s="452"/>
      <c r="K19" s="452"/>
      <c r="L19" s="452"/>
      <c r="M19" s="452"/>
    </row>
    <row r="20" spans="1:13" ht="26.25" customHeight="1">
      <c r="B20" s="461" t="s">
        <v>491</v>
      </c>
      <c r="C20" s="461"/>
      <c r="D20" s="461"/>
      <c r="E20" s="461"/>
      <c r="F20" s="461"/>
      <c r="G20" s="461"/>
      <c r="H20" s="461"/>
      <c r="I20" s="461"/>
      <c r="J20" s="461"/>
      <c r="K20" s="461"/>
      <c r="L20" s="461"/>
      <c r="M20" s="461"/>
    </row>
    <row r="21" spans="1:13">
      <c r="B21" s="176" t="s">
        <v>414</v>
      </c>
    </row>
    <row r="22" spans="1:13" ht="15" customHeight="1">
      <c r="B22" s="459" t="s">
        <v>420</v>
      </c>
      <c r="C22" s="459"/>
      <c r="D22" s="459"/>
      <c r="E22" s="459"/>
      <c r="F22" s="459"/>
      <c r="G22" s="459"/>
      <c r="H22" s="459"/>
      <c r="I22" s="459"/>
      <c r="J22" s="459"/>
      <c r="K22" s="459"/>
      <c r="L22" s="459"/>
      <c r="M22" s="459"/>
    </row>
    <row r="23" spans="1:13" ht="15" customHeight="1">
      <c r="B23" s="459"/>
      <c r="C23" s="459"/>
      <c r="D23" s="459"/>
      <c r="E23" s="459"/>
      <c r="F23" s="459"/>
      <c r="G23" s="459"/>
      <c r="H23" s="459"/>
      <c r="I23" s="459"/>
      <c r="J23" s="459"/>
      <c r="K23" s="459"/>
      <c r="L23" s="459"/>
      <c r="M23" s="459"/>
    </row>
    <row r="24" spans="1:13" ht="15" customHeight="1">
      <c r="C24" s="175" t="s">
        <v>430</v>
      </c>
    </row>
    <row r="25" spans="1:13" ht="35.1" customHeight="1">
      <c r="D25" s="456" t="s">
        <v>492</v>
      </c>
      <c r="E25" s="456"/>
      <c r="F25" s="456"/>
      <c r="G25" s="456"/>
      <c r="H25" s="456"/>
      <c r="I25" s="456"/>
      <c r="J25" s="456"/>
      <c r="K25" s="456"/>
      <c r="L25" s="456"/>
      <c r="M25" s="456"/>
    </row>
    <row r="26" spans="1:13">
      <c r="C26" s="175" t="s">
        <v>415</v>
      </c>
    </row>
    <row r="27" spans="1:13" ht="15.95" customHeight="1">
      <c r="D27" s="459" t="s">
        <v>493</v>
      </c>
      <c r="E27" s="459"/>
      <c r="F27" s="459"/>
      <c r="G27" s="459"/>
      <c r="H27" s="459"/>
      <c r="I27" s="459"/>
      <c r="J27" s="459"/>
      <c r="K27" s="459"/>
      <c r="L27" s="459"/>
      <c r="M27" s="459"/>
    </row>
    <row r="28" spans="1:13">
      <c r="D28" s="175" t="s">
        <v>416</v>
      </c>
    </row>
    <row r="29" spans="1:13">
      <c r="D29" s="175" t="s">
        <v>494</v>
      </c>
    </row>
    <row r="30" spans="1:13">
      <c r="D30" s="175" t="s">
        <v>417</v>
      </c>
    </row>
    <row r="31" spans="1:13">
      <c r="B31" s="459" t="s">
        <v>495</v>
      </c>
      <c r="C31" s="459"/>
      <c r="D31" s="459"/>
      <c r="E31" s="459"/>
      <c r="F31" s="459"/>
      <c r="G31" s="459"/>
      <c r="H31" s="459"/>
      <c r="I31" s="459"/>
      <c r="J31" s="459"/>
      <c r="K31" s="459"/>
      <c r="L31" s="459"/>
      <c r="M31" s="459"/>
    </row>
    <row r="32" spans="1:13" ht="27" customHeight="1">
      <c r="B32" s="459"/>
      <c r="C32" s="459"/>
      <c r="D32" s="459"/>
      <c r="E32" s="459"/>
      <c r="F32" s="459"/>
      <c r="G32" s="459"/>
      <c r="H32" s="459"/>
      <c r="I32" s="459"/>
      <c r="J32" s="459"/>
      <c r="K32" s="459"/>
      <c r="L32" s="459"/>
      <c r="M32" s="459"/>
    </row>
    <row r="34" spans="1:14">
      <c r="A34" s="176" t="s">
        <v>496</v>
      </c>
      <c r="B34" s="176" t="s">
        <v>350</v>
      </c>
    </row>
    <row r="35" spans="1:14">
      <c r="B35" s="175" t="s">
        <v>352</v>
      </c>
    </row>
    <row r="36" spans="1:14">
      <c r="B36" s="175" t="s">
        <v>353</v>
      </c>
    </row>
    <row r="37" spans="1:14">
      <c r="B37" s="175" t="s">
        <v>354</v>
      </c>
    </row>
    <row r="39" spans="1:14">
      <c r="A39" s="176" t="s">
        <v>497</v>
      </c>
      <c r="B39" s="176" t="s">
        <v>428</v>
      </c>
    </row>
    <row r="40" spans="1:14">
      <c r="B40" s="175" t="s">
        <v>427</v>
      </c>
    </row>
    <row r="41" spans="1:14">
      <c r="B41" s="175" t="s">
        <v>355</v>
      </c>
    </row>
    <row r="43" spans="1:14">
      <c r="A43" s="176" t="s">
        <v>418</v>
      </c>
      <c r="B43" s="176" t="s">
        <v>349</v>
      </c>
    </row>
    <row r="44" spans="1:14">
      <c r="A44" s="462" t="s">
        <v>348</v>
      </c>
      <c r="B44" s="462"/>
      <c r="C44" s="462"/>
      <c r="D44" s="462"/>
      <c r="E44" s="462"/>
      <c r="F44" s="462"/>
      <c r="G44" s="462"/>
      <c r="H44" s="462"/>
      <c r="I44" s="462"/>
      <c r="J44" s="462"/>
      <c r="K44" s="462"/>
      <c r="L44" s="462"/>
      <c r="M44" s="462"/>
    </row>
    <row r="46" spans="1:14" ht="25.5" customHeight="1">
      <c r="A46" s="176" t="s">
        <v>498</v>
      </c>
      <c r="B46" s="456" t="s">
        <v>499</v>
      </c>
      <c r="C46" s="456"/>
      <c r="D46" s="456"/>
      <c r="E46" s="456"/>
      <c r="F46" s="456"/>
      <c r="G46" s="456"/>
      <c r="H46" s="456"/>
      <c r="I46" s="456"/>
      <c r="J46" s="456"/>
      <c r="K46" s="456"/>
      <c r="L46" s="456"/>
      <c r="M46" s="456"/>
    </row>
    <row r="48" spans="1:14" ht="81" customHeight="1">
      <c r="A48" s="176" t="s">
        <v>419</v>
      </c>
      <c r="B48" s="457" t="s">
        <v>502</v>
      </c>
      <c r="C48" s="456"/>
      <c r="D48" s="456"/>
      <c r="E48" s="456"/>
      <c r="F48" s="456"/>
      <c r="G48" s="456"/>
      <c r="H48" s="456"/>
      <c r="I48" s="456"/>
      <c r="J48" s="456"/>
      <c r="K48" s="456"/>
      <c r="L48" s="456"/>
      <c r="M48" s="456"/>
      <c r="N48" s="453"/>
    </row>
    <row r="49" spans="1:13" ht="26.25" customHeight="1">
      <c r="B49" s="456" t="s">
        <v>500</v>
      </c>
      <c r="C49" s="456"/>
      <c r="D49" s="456"/>
      <c r="E49" s="456"/>
      <c r="F49" s="456"/>
      <c r="G49" s="456"/>
      <c r="H49" s="456"/>
      <c r="I49" s="456"/>
      <c r="J49" s="456"/>
      <c r="K49" s="456"/>
      <c r="L49" s="456"/>
      <c r="M49" s="456"/>
    </row>
    <row r="50" spans="1:13" ht="63" customHeight="1">
      <c r="B50" s="453"/>
      <c r="C50" s="456" t="s">
        <v>503</v>
      </c>
      <c r="D50" s="456"/>
      <c r="E50" s="456"/>
      <c r="F50" s="456"/>
      <c r="G50" s="456"/>
      <c r="H50" s="456"/>
      <c r="I50" s="456"/>
      <c r="J50" s="456"/>
      <c r="K50" s="456"/>
      <c r="L50" s="456"/>
      <c r="M50" s="456"/>
    </row>
    <row r="51" spans="1:13" ht="15">
      <c r="A51" s="175" t="s">
        <v>429</v>
      </c>
      <c r="B51" s="176" t="s">
        <v>356</v>
      </c>
    </row>
    <row r="52" spans="1:13" s="455" customFormat="1" ht="26.25" customHeight="1">
      <c r="A52" s="454" t="s">
        <v>347</v>
      </c>
    </row>
  </sheetData>
  <sheetProtection password="CF02" sheet="1" objects="1" scenarios="1"/>
  <mergeCells count="14">
    <mergeCell ref="B49:M49"/>
    <mergeCell ref="C50:M50"/>
    <mergeCell ref="B48:M48"/>
    <mergeCell ref="B46:M46"/>
    <mergeCell ref="A1:M1"/>
    <mergeCell ref="A2:M2"/>
    <mergeCell ref="B31:M32"/>
    <mergeCell ref="B22:M23"/>
    <mergeCell ref="D25:M25"/>
    <mergeCell ref="B5:M5"/>
    <mergeCell ref="B6:M6"/>
    <mergeCell ref="D27:M27"/>
    <mergeCell ref="B20:M20"/>
    <mergeCell ref="A44:M44"/>
  </mergeCells>
  <phoneticPr fontId="7" type="noConversion"/>
  <hyperlinks>
    <hyperlink ref="A44" r:id="rId1"/>
  </hyperlinks>
  <pageMargins left="0.35433070866141736" right="0.35433070866141736" top="0.72250000000000003" bottom="0.98425196850393704" header="0.40375" footer="0.51181102362204722"/>
  <pageSetup paperSize="9" scale="68" orientation="portrait" horizontalDpi="4294967292" verticalDpi="4294967292" r:id="rId2"/>
  <headerFooter>
    <oddHeader>&amp;C2016. E+ KA204&amp;RVersion: 2016.01.17. - TKA</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FF0000"/>
    <pageSetUpPr fitToPage="1"/>
  </sheetPr>
  <dimension ref="A1:IX37"/>
  <sheetViews>
    <sheetView zoomScaleNormal="100" workbookViewId="0">
      <selection activeCell="A7" sqref="A7"/>
    </sheetView>
  </sheetViews>
  <sheetFormatPr defaultColWidth="8.85546875" defaultRowHeight="12.75"/>
  <cols>
    <col min="1" max="1" width="6.42578125" style="97" customWidth="1"/>
    <col min="2" max="2" width="12.7109375" style="98" bestFit="1" customWidth="1"/>
    <col min="3" max="3" width="6.85546875" style="77" bestFit="1" customWidth="1"/>
    <col min="4" max="4" width="37.42578125" style="99" bestFit="1" customWidth="1"/>
    <col min="5" max="5" width="10.42578125" style="77" bestFit="1" customWidth="1"/>
    <col min="6" max="6" width="5.28515625" style="77" customWidth="1"/>
    <col min="7" max="7" width="5" style="77" bestFit="1" customWidth="1"/>
    <col min="8" max="8" width="10.42578125" style="77" customWidth="1"/>
    <col min="9" max="9" width="5.28515625" style="77" customWidth="1"/>
    <col min="10" max="10" width="5" style="77" bestFit="1" customWidth="1"/>
    <col min="11" max="11" width="11.7109375" style="93" customWidth="1"/>
    <col min="12" max="12" width="17.28515625" style="100" bestFit="1" customWidth="1"/>
    <col min="13" max="13" width="10" style="78" bestFit="1" customWidth="1"/>
    <col min="14" max="15" width="10.7109375" style="78" customWidth="1"/>
    <col min="16" max="16" width="10.42578125" style="78" bestFit="1" customWidth="1"/>
    <col min="17" max="17" width="10.140625" style="78" bestFit="1" customWidth="1"/>
    <col min="18" max="18" width="9.140625" style="78" bestFit="1" customWidth="1"/>
    <col min="19" max="19" width="11.42578125" style="78" bestFit="1" customWidth="1"/>
    <col min="20" max="16384" width="8.85546875" style="93"/>
  </cols>
  <sheetData>
    <row r="1" spans="1:258" s="91" customFormat="1" ht="15.75" customHeight="1">
      <c r="A1" s="235" t="s">
        <v>434</v>
      </c>
      <c r="B1" s="236"/>
      <c r="C1" s="220"/>
      <c r="D1" s="237"/>
      <c r="E1" s="220"/>
      <c r="F1" s="535" t="s">
        <v>478</v>
      </c>
      <c r="G1" s="536"/>
      <c r="H1" s="536"/>
      <c r="I1" s="537"/>
      <c r="K1" s="514" t="s">
        <v>445</v>
      </c>
      <c r="L1" s="515"/>
      <c r="M1" s="515"/>
      <c r="N1" s="515"/>
      <c r="O1" s="515"/>
      <c r="P1" s="515"/>
      <c r="Q1" s="516"/>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c r="IW1" s="93"/>
      <c r="IX1" s="93"/>
    </row>
    <row r="2" spans="1:258" s="91" customFormat="1" ht="16.5" thickBot="1">
      <c r="A2" s="238" t="s">
        <v>0</v>
      </c>
      <c r="B2" s="239"/>
      <c r="C2" s="222"/>
      <c r="D2" s="527" t="s">
        <v>480</v>
      </c>
      <c r="E2" s="527"/>
      <c r="F2" s="538"/>
      <c r="G2" s="539"/>
      <c r="H2" s="539"/>
      <c r="I2" s="540"/>
      <c r="K2" s="511" t="s">
        <v>446</v>
      </c>
      <c r="L2" s="512"/>
      <c r="M2" s="512"/>
      <c r="N2" s="512"/>
      <c r="O2" s="512"/>
      <c r="P2" s="512"/>
      <c r="Q2" s="51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row>
    <row r="3" spans="1:258" s="92" customFormat="1" ht="13.5" thickBot="1">
      <c r="A3" s="240" t="s">
        <v>1</v>
      </c>
      <c r="B3" s="241"/>
      <c r="C3" s="229"/>
      <c r="D3" s="242"/>
      <c r="E3" s="229"/>
      <c r="F3" s="229"/>
      <c r="G3" s="229"/>
      <c r="H3" s="229"/>
      <c r="I3" s="229"/>
      <c r="J3" s="229"/>
      <c r="K3" s="243"/>
      <c r="L3" s="244"/>
      <c r="M3" s="230"/>
      <c r="N3" s="230"/>
      <c r="O3" s="230"/>
      <c r="P3" s="230"/>
      <c r="Q3" s="230"/>
      <c r="R3" s="230"/>
      <c r="S3" s="230"/>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row>
    <row r="4" spans="1:258" s="92" customFormat="1" ht="12.75" customHeight="1">
      <c r="A4" s="481" t="s">
        <v>319</v>
      </c>
      <c r="B4" s="483" t="s">
        <v>32</v>
      </c>
      <c r="C4" s="487" t="s">
        <v>337</v>
      </c>
      <c r="D4" s="517" t="s">
        <v>154</v>
      </c>
      <c r="E4" s="487" t="s">
        <v>422</v>
      </c>
      <c r="F4" s="519" t="s">
        <v>451</v>
      </c>
      <c r="G4" s="520"/>
      <c r="H4" s="487" t="s">
        <v>421</v>
      </c>
      <c r="I4" s="523" t="s">
        <v>452</v>
      </c>
      <c r="J4" s="524"/>
      <c r="K4" s="519" t="s">
        <v>35</v>
      </c>
      <c r="L4" s="528" t="s">
        <v>130</v>
      </c>
      <c r="M4" s="530" t="s">
        <v>156</v>
      </c>
      <c r="N4" s="532" t="s">
        <v>343</v>
      </c>
      <c r="O4" s="533"/>
      <c r="P4" s="534"/>
      <c r="Q4" s="509" t="s">
        <v>341</v>
      </c>
      <c r="R4" s="510"/>
      <c r="S4" s="489" t="s">
        <v>142</v>
      </c>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row>
    <row r="5" spans="1:258" s="123" customFormat="1" ht="26.25" thickBot="1">
      <c r="A5" s="482"/>
      <c r="B5" s="484"/>
      <c r="C5" s="488"/>
      <c r="D5" s="518"/>
      <c r="E5" s="488"/>
      <c r="F5" s="521"/>
      <c r="G5" s="522"/>
      <c r="H5" s="488"/>
      <c r="I5" s="525"/>
      <c r="J5" s="526"/>
      <c r="K5" s="521"/>
      <c r="L5" s="529"/>
      <c r="M5" s="531"/>
      <c r="N5" s="245" t="s">
        <v>344</v>
      </c>
      <c r="O5" s="246" t="s">
        <v>423</v>
      </c>
      <c r="P5" s="247" t="s">
        <v>342</v>
      </c>
      <c r="Q5" s="336" t="s">
        <v>155</v>
      </c>
      <c r="R5" s="247" t="s">
        <v>342</v>
      </c>
      <c r="S5" s="490"/>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c r="IV5" s="93"/>
      <c r="IW5" s="93"/>
      <c r="IX5" s="93"/>
    </row>
    <row r="6" spans="1:258" ht="13.5" thickBot="1">
      <c r="A6" s="248"/>
      <c r="B6" s="249"/>
      <c r="C6" s="250"/>
      <c r="D6" s="251"/>
      <c r="E6" s="250"/>
      <c r="F6" s="250"/>
      <c r="G6" s="250"/>
      <c r="H6" s="250"/>
      <c r="I6" s="250"/>
      <c r="J6" s="250"/>
      <c r="K6" s="251"/>
      <c r="L6" s="252" t="s">
        <v>334</v>
      </c>
      <c r="M6" s="276">
        <f>SUM(M7:M37)</f>
        <v>0</v>
      </c>
      <c r="N6" s="277"/>
      <c r="O6" s="278"/>
      <c r="P6" s="276">
        <f>SUM(P7:P37)</f>
        <v>0</v>
      </c>
      <c r="Q6" s="277"/>
      <c r="R6" s="276">
        <f>SUM(R7:R37)</f>
        <v>0</v>
      </c>
      <c r="S6" s="118">
        <f>SUM(S7:S37)</f>
        <v>0</v>
      </c>
    </row>
    <row r="7" spans="1:258" ht="15.75" customHeight="1">
      <c r="A7" s="49"/>
      <c r="B7" s="94" t="str">
        <f>IF(ISBLANK(A7),"",VLOOKUP(A7,Management!$A$6:$C$20,2,0))</f>
        <v/>
      </c>
      <c r="C7" s="79"/>
      <c r="D7" s="101"/>
      <c r="E7" s="79"/>
      <c r="F7" s="333"/>
      <c r="G7" s="181" t="str">
        <f>IF(ISBLANK($D7),"","days")</f>
        <v/>
      </c>
      <c r="H7" s="172"/>
      <c r="I7" s="333"/>
      <c r="J7" s="181" t="str">
        <f>IF(ISBLANK($D7),"","days")</f>
        <v/>
      </c>
      <c r="K7" s="124"/>
      <c r="L7" s="127"/>
      <c r="M7" s="279" t="str">
        <f>IF(ISBLANK(L7),"",SUM(E7,H7)*VLOOKUP(L7,Ceilings!$X$4:$Y$5,2,0))</f>
        <v/>
      </c>
      <c r="N7" s="280" t="str">
        <f>IF(OR(ISBLANK($D7),ISBLANK($K7)),"",IF(LEFT($D7,18)="Long-term teaching",VLOOKUP($K7,Subsistence,2,0)*14+VLOOKUP($K7,Subsistence,3,0)*46+IF($F7&gt;60,VLOOKUP($K7,Subsistence,4,0)*($F7-60),0),IF(LEFT($D7,18)="Short-term joint s",IF($F7&lt;15,Ceilings!$S$3*$F7,Ceilings!$S$3*14+Ceilings!$S$4*($F7-14)),IF($F7&lt;15,Ceilings!$S$6*$F7,Ceilings!$S$6*14+Ceilings!$S$7*($F7-14)))))</f>
        <v/>
      </c>
      <c r="O7" s="281" t="str">
        <f>IF(OR(ISBLANK(D7),ISBLANK(H7),ISBLANK(K7)),"",IF(I7&lt;15,Ceilings!$S$3*I7,Ceilings!$S$3*14+Ceilings!$S$4*(I7-14)))</f>
        <v/>
      </c>
      <c r="P7" s="279" t="str">
        <f>IF(N7="","",$E7*N7+IF(O7="",0,$H7*O7))</f>
        <v/>
      </c>
      <c r="Q7" s="172"/>
      <c r="R7" s="279" t="str">
        <f>IF(OR(ISBLANK($D7),ISBLANK($K7),ISBLANK(Q7)),"",Ceilings!$V$3*Q7)</f>
        <v/>
      </c>
      <c r="S7" s="270" t="str">
        <f>IF(ISBLANK($A7),"",IF(OR(ISBLANK($C7),ISBLANK($D7),ISBLANK($E7),ISBLANK($K7)),"Missing data",IF($B7=$K7,"Same country",SUM($M7,$P7,$R7))))</f>
        <v/>
      </c>
    </row>
    <row r="8" spans="1:258" ht="15.75" customHeight="1">
      <c r="A8" s="52"/>
      <c r="B8" s="95" t="str">
        <f>IF(ISBLANK(A8),"",VLOOKUP(A8,Management!$A$6:$C$20,2,0))</f>
        <v/>
      </c>
      <c r="C8" s="81"/>
      <c r="D8" s="102"/>
      <c r="E8" s="81"/>
      <c r="F8" s="334"/>
      <c r="G8" s="182" t="str">
        <f t="shared" ref="G8:G37" si="0">IF(ISBLANK($D8),"","days")</f>
        <v/>
      </c>
      <c r="H8" s="173"/>
      <c r="I8" s="334"/>
      <c r="J8" s="182" t="str">
        <f t="shared" ref="J8:J37" si="1">IF(ISBLANK($D8),"","days")</f>
        <v/>
      </c>
      <c r="K8" s="125"/>
      <c r="L8" s="128"/>
      <c r="M8" s="282" t="str">
        <f>IF(ISBLANK(L8),"",SUM(E8,H8)*VLOOKUP(L8,Ceilings!$X$4:$Y$5,2,0))</f>
        <v/>
      </c>
      <c r="N8" s="283" t="str">
        <f>IF(OR(ISBLANK($D8),ISBLANK($K8)),"",IF(LEFT($D8,18)="Long-term teaching",VLOOKUP($K8,Subsistence,2,0)*14+VLOOKUP($K8,Subsistence,3,0)*46+IF($F8&gt;60,VLOOKUP($K8,Subsistence,4,0)*($F8-60),0),IF(LEFT($D8,18)="Short-term joint s",IF($F8&lt;15,Ceilings!$S$3*$F8,Ceilings!$S$3*14+Ceilings!$S$4*($F8-14)),IF($F8&lt;15,Ceilings!$S$6*$F8,Ceilings!$S$6*14+Ceilings!$S$7*($F8-14)))))</f>
        <v/>
      </c>
      <c r="O8" s="284" t="str">
        <f>IF(OR(ISBLANK(D8),ISBLANK(H8),ISBLANK(K8)),"",IF(I8&lt;15,Ceilings!$S$3*I8,Ceilings!$S$3*14+Ceilings!$S$4*(I8-14)))</f>
        <v/>
      </c>
      <c r="P8" s="282" t="str">
        <f t="shared" ref="P8:P37" si="2">IF(N8="","",$E8*N8+IF(O8="",0,$H8*O8))</f>
        <v/>
      </c>
      <c r="Q8" s="173"/>
      <c r="R8" s="282" t="str">
        <f>IF(OR(ISBLANK($D8),ISBLANK($K8),ISBLANK(Q8)),"",Ceilings!$V$3*Q8)</f>
        <v/>
      </c>
      <c r="S8" s="116" t="str">
        <f t="shared" ref="S8:S37" si="3">IF(ISBLANK($A8),"",IF(OR(ISBLANK($C8),ISBLANK($D8),ISBLANK($E8),ISBLANK($K8)),"Missing data",IF($B8=$K8,"Same country",SUM($M8,$P8,$R8))))</f>
        <v/>
      </c>
    </row>
    <row r="9" spans="1:258" ht="15.75" customHeight="1">
      <c r="A9" s="52"/>
      <c r="B9" s="95" t="str">
        <f>IF(ISBLANK(A9),"",VLOOKUP(A9,Management!$A$6:$C$20,2,0))</f>
        <v/>
      </c>
      <c r="C9" s="81"/>
      <c r="D9" s="102"/>
      <c r="E9" s="81"/>
      <c r="F9" s="334"/>
      <c r="G9" s="182" t="str">
        <f t="shared" si="0"/>
        <v/>
      </c>
      <c r="H9" s="173"/>
      <c r="I9" s="334"/>
      <c r="J9" s="182" t="str">
        <f t="shared" si="1"/>
        <v/>
      </c>
      <c r="K9" s="125"/>
      <c r="L9" s="128"/>
      <c r="M9" s="282" t="str">
        <f>IF(ISBLANK(L9),"",SUM(E9,H9)*VLOOKUP(L9,Ceilings!$X$4:$Y$5,2,0))</f>
        <v/>
      </c>
      <c r="N9" s="283" t="str">
        <f>IF(OR(ISBLANK($D9),ISBLANK($K9)),"",IF(LEFT($D9,18)="Long-term teaching",VLOOKUP($K9,Subsistence,2,0)*14+VLOOKUP($K9,Subsistence,3,0)*46+IF($F9&gt;60,VLOOKUP($K9,Subsistence,4,0)*($F9-60),0),IF(LEFT($D9,18)="Short-term joint s",IF($F9&lt;15,Ceilings!$S$3*$F9,Ceilings!$S$3*14+Ceilings!$S$4*($F9-14)),IF($F9&lt;15,Ceilings!$S$6*$F9,Ceilings!$S$6*14+Ceilings!$S$7*($F9-14)))))</f>
        <v/>
      </c>
      <c r="O9" s="284" t="str">
        <f>IF(OR(ISBLANK(D9),ISBLANK(H9),ISBLANK(K9)),"",IF(I9&lt;15,Ceilings!$S$3*I9,Ceilings!$S$3*14+Ceilings!$S$4*(I9-14)))</f>
        <v/>
      </c>
      <c r="P9" s="282" t="str">
        <f t="shared" si="2"/>
        <v/>
      </c>
      <c r="Q9" s="173"/>
      <c r="R9" s="282" t="str">
        <f>IF(OR(ISBLANK($D9),ISBLANK($K9),ISBLANK(Q9)),"",Ceilings!$V$3*Q9)</f>
        <v/>
      </c>
      <c r="S9" s="116" t="str">
        <f t="shared" si="3"/>
        <v/>
      </c>
    </row>
    <row r="10" spans="1:258" ht="15.75" customHeight="1">
      <c r="A10" s="52"/>
      <c r="B10" s="95" t="str">
        <f>IF(ISBLANK(A10),"",VLOOKUP(A10,Management!$A$6:$C$20,2,0))</f>
        <v/>
      </c>
      <c r="C10" s="81"/>
      <c r="D10" s="102"/>
      <c r="E10" s="81"/>
      <c r="F10" s="334"/>
      <c r="G10" s="182" t="str">
        <f t="shared" si="0"/>
        <v/>
      </c>
      <c r="H10" s="173"/>
      <c r="I10" s="334"/>
      <c r="J10" s="182" t="str">
        <f t="shared" si="1"/>
        <v/>
      </c>
      <c r="K10" s="125"/>
      <c r="L10" s="128"/>
      <c r="M10" s="282" t="str">
        <f>IF(ISBLANK(L10),"",SUM(E10,H10)*VLOOKUP(L10,Ceilings!$X$4:$Y$5,2,0))</f>
        <v/>
      </c>
      <c r="N10" s="283" t="str">
        <f>IF(OR(ISBLANK($D10),ISBLANK($K10)),"",IF(LEFT($D10,18)="Long-term teaching",VLOOKUP($K10,Subsistence,2,0)*14+VLOOKUP($K10,Subsistence,3,0)*46+IF($F10&gt;60,VLOOKUP($K10,Subsistence,4,0)*($F10-60),0),IF(LEFT($D10,18)="Short-term joint s",IF($F10&lt;15,Ceilings!$S$3*$F10,Ceilings!$S$3*14+Ceilings!$S$4*($F10-14)),IF($F10&lt;15,Ceilings!$S$6*$F10,Ceilings!$S$6*14+Ceilings!$S$7*($F10-14)))))</f>
        <v/>
      </c>
      <c r="O10" s="284" t="str">
        <f>IF(OR(ISBLANK(D10),ISBLANK(H10),ISBLANK(K10)),"",IF(I10&lt;15,Ceilings!$S$3*I10,Ceilings!$S$3*14+Ceilings!$S$4*(I10-14)))</f>
        <v/>
      </c>
      <c r="P10" s="282" t="str">
        <f t="shared" si="2"/>
        <v/>
      </c>
      <c r="Q10" s="173"/>
      <c r="R10" s="282" t="str">
        <f>IF(OR(ISBLANK($D10),ISBLANK($K10),ISBLANK(Q10)),"",Ceilings!$V$3*Q10)</f>
        <v/>
      </c>
      <c r="S10" s="116" t="str">
        <f t="shared" si="3"/>
        <v/>
      </c>
    </row>
    <row r="11" spans="1:258" ht="15.75" customHeight="1">
      <c r="A11" s="52"/>
      <c r="B11" s="95" t="str">
        <f>IF(ISBLANK(A11),"",VLOOKUP(A11,Management!$A$6:$C$20,2,0))</f>
        <v/>
      </c>
      <c r="C11" s="81"/>
      <c r="D11" s="102"/>
      <c r="E11" s="81"/>
      <c r="F11" s="334"/>
      <c r="G11" s="182" t="str">
        <f t="shared" si="0"/>
        <v/>
      </c>
      <c r="H11" s="173"/>
      <c r="I11" s="334"/>
      <c r="J11" s="182" t="str">
        <f t="shared" si="1"/>
        <v/>
      </c>
      <c r="K11" s="125"/>
      <c r="L11" s="128"/>
      <c r="M11" s="282" t="str">
        <f>IF(ISBLANK(L11),"",SUM(E11,H11)*VLOOKUP(L11,Ceilings!$X$4:$Y$5,2,0))</f>
        <v/>
      </c>
      <c r="N11" s="283" t="str">
        <f>IF(OR(ISBLANK($D11),ISBLANK($K11)),"",IF(LEFT($D11,18)="Long-term teaching",VLOOKUP($K11,Subsistence,2,0)*14+VLOOKUP($K11,Subsistence,3,0)*46+IF($F11&gt;60,VLOOKUP($K11,Subsistence,4,0)*($F11-60),0),IF(LEFT($D11,18)="Short-term joint s",IF($F11&lt;15,Ceilings!$S$3*$F11,Ceilings!$S$3*14+Ceilings!$S$4*($F11-14)),IF($F11&lt;15,Ceilings!$S$6*$F11,Ceilings!$S$6*14+Ceilings!$S$7*($F11-14)))))</f>
        <v/>
      </c>
      <c r="O11" s="284" t="str">
        <f>IF(OR(ISBLANK(D11),ISBLANK(H11),ISBLANK(K11)),"",IF(I11&lt;15,Ceilings!$S$3*I11,Ceilings!$S$3*14+Ceilings!$S$4*(I11-14)))</f>
        <v/>
      </c>
      <c r="P11" s="282" t="str">
        <f t="shared" si="2"/>
        <v/>
      </c>
      <c r="Q11" s="173"/>
      <c r="R11" s="282" t="str">
        <f>IF(OR(ISBLANK($D11),ISBLANK($K11),ISBLANK(Q11)),"",Ceilings!$V$3*Q11)</f>
        <v/>
      </c>
      <c r="S11" s="116" t="str">
        <f t="shared" si="3"/>
        <v/>
      </c>
    </row>
    <row r="12" spans="1:258" ht="15.75" customHeight="1">
      <c r="A12" s="52"/>
      <c r="B12" s="95" t="str">
        <f>IF(ISBLANK(A12),"",VLOOKUP(A12,Management!$A$6:$C$20,2,0))</f>
        <v/>
      </c>
      <c r="C12" s="81"/>
      <c r="D12" s="102"/>
      <c r="E12" s="81"/>
      <c r="F12" s="334"/>
      <c r="G12" s="182" t="str">
        <f t="shared" si="0"/>
        <v/>
      </c>
      <c r="H12" s="173"/>
      <c r="I12" s="334"/>
      <c r="J12" s="182" t="str">
        <f t="shared" si="1"/>
        <v/>
      </c>
      <c r="K12" s="125"/>
      <c r="L12" s="128"/>
      <c r="M12" s="282" t="str">
        <f>IF(ISBLANK(L12),"",SUM(E12,H12)*VLOOKUP(L12,Ceilings!$X$4:$Y$5,2,0))</f>
        <v/>
      </c>
      <c r="N12" s="283" t="str">
        <f>IF(OR(ISBLANK($D12),ISBLANK($K12)),"",IF(LEFT($D12,18)="Long-term teaching",VLOOKUP($K12,Subsistence,2,0)*14+VLOOKUP($K12,Subsistence,3,0)*46+IF($F12&gt;60,VLOOKUP($K12,Subsistence,4,0)*($F12-60),0),IF(LEFT($D12,18)="Short-term joint s",IF($F12&lt;15,Ceilings!$S$3*$F12,Ceilings!$S$3*14+Ceilings!$S$4*($F12-14)),IF($F12&lt;15,Ceilings!$S$6*$F12,Ceilings!$S$6*14+Ceilings!$S$7*($F12-14)))))</f>
        <v/>
      </c>
      <c r="O12" s="284" t="str">
        <f>IF(OR(ISBLANK(D12),ISBLANK(H12),ISBLANK(K12)),"",IF(I12&lt;15,Ceilings!$S$3*I12,Ceilings!$S$3*14+Ceilings!$S$4*(I12-14)))</f>
        <v/>
      </c>
      <c r="P12" s="282" t="str">
        <f t="shared" si="2"/>
        <v/>
      </c>
      <c r="Q12" s="173"/>
      <c r="R12" s="282" t="str">
        <f>IF(OR(ISBLANK($D12),ISBLANK($K12),ISBLANK(Q12)),"",Ceilings!$V$3*Q12)</f>
        <v/>
      </c>
      <c r="S12" s="116" t="str">
        <f t="shared" si="3"/>
        <v/>
      </c>
    </row>
    <row r="13" spans="1:258" ht="15.75" customHeight="1">
      <c r="A13" s="52"/>
      <c r="B13" s="95" t="str">
        <f>IF(ISBLANK(A13),"",VLOOKUP(A13,Management!$A$6:$C$20,2,0))</f>
        <v/>
      </c>
      <c r="C13" s="81"/>
      <c r="D13" s="102"/>
      <c r="E13" s="81"/>
      <c r="F13" s="334"/>
      <c r="G13" s="182" t="str">
        <f t="shared" si="0"/>
        <v/>
      </c>
      <c r="H13" s="173"/>
      <c r="I13" s="334"/>
      <c r="J13" s="182" t="str">
        <f t="shared" si="1"/>
        <v/>
      </c>
      <c r="K13" s="125"/>
      <c r="L13" s="128"/>
      <c r="M13" s="282" t="str">
        <f>IF(ISBLANK(L13),"",SUM(E13,H13)*VLOOKUP(L13,Ceilings!$X$4:$Y$5,2,0))</f>
        <v/>
      </c>
      <c r="N13" s="283" t="str">
        <f>IF(OR(ISBLANK($D13),ISBLANK($K13)),"",IF(LEFT($D13,18)="Long-term teaching",VLOOKUP($K13,Subsistence,2,0)*14+VLOOKUP($K13,Subsistence,3,0)*46+IF($F13&gt;60,VLOOKUP($K13,Subsistence,4,0)*($F13-60),0),IF(LEFT($D13,18)="Short-term joint s",IF($F13&lt;15,Ceilings!$S$3*$F13,Ceilings!$S$3*14+Ceilings!$S$4*($F13-14)),IF($F13&lt;15,Ceilings!$S$6*$F13,Ceilings!$S$6*14+Ceilings!$S$7*($F13-14)))))</f>
        <v/>
      </c>
      <c r="O13" s="284" t="str">
        <f>IF(OR(ISBLANK(D13),ISBLANK(H13),ISBLANK(K13)),"",IF(I13&lt;15,Ceilings!$S$3*I13,Ceilings!$S$3*14+Ceilings!$S$4*(I13-14)))</f>
        <v/>
      </c>
      <c r="P13" s="282" t="str">
        <f t="shared" si="2"/>
        <v/>
      </c>
      <c r="Q13" s="173"/>
      <c r="R13" s="282" t="str">
        <f>IF(OR(ISBLANK($D13),ISBLANK($K13),ISBLANK(Q13)),"",Ceilings!$V$3*Q13)</f>
        <v/>
      </c>
      <c r="S13" s="116" t="str">
        <f t="shared" si="3"/>
        <v/>
      </c>
    </row>
    <row r="14" spans="1:258" ht="15.75" customHeight="1">
      <c r="A14" s="52"/>
      <c r="B14" s="95" t="str">
        <f>IF(ISBLANK(A14),"",VLOOKUP(A14,Management!$A$6:$C$20,2,0))</f>
        <v/>
      </c>
      <c r="C14" s="81"/>
      <c r="D14" s="102"/>
      <c r="E14" s="81"/>
      <c r="F14" s="334"/>
      <c r="G14" s="182" t="str">
        <f t="shared" si="0"/>
        <v/>
      </c>
      <c r="H14" s="173"/>
      <c r="I14" s="334"/>
      <c r="J14" s="182" t="str">
        <f t="shared" si="1"/>
        <v/>
      </c>
      <c r="K14" s="125"/>
      <c r="L14" s="128"/>
      <c r="M14" s="282" t="str">
        <f>IF(ISBLANK(L14),"",SUM(E14,H14)*VLOOKUP(L14,Ceilings!$X$4:$Y$5,2,0))</f>
        <v/>
      </c>
      <c r="N14" s="283" t="str">
        <f>IF(OR(ISBLANK($D14),ISBLANK($K14)),"",IF(LEFT($D14,18)="Long-term teaching",VLOOKUP($K14,Subsistence,2,0)*14+VLOOKUP($K14,Subsistence,3,0)*46+IF($F14&gt;60,VLOOKUP($K14,Subsistence,4,0)*($F14-60),0),IF(LEFT($D14,18)="Short-term joint s",IF($F14&lt;15,Ceilings!$S$3*$F14,Ceilings!$S$3*14+Ceilings!$S$4*($F14-14)),IF($F14&lt;15,Ceilings!$S$6*$F14,Ceilings!$S$6*14+Ceilings!$S$7*($F14-14)))))</f>
        <v/>
      </c>
      <c r="O14" s="284" t="str">
        <f>IF(OR(ISBLANK(D14),ISBLANK(H14),ISBLANK(K14)),"",IF(I14&lt;15,Ceilings!$S$3*I14,Ceilings!$S$3*14+Ceilings!$S$4*(I14-14)))</f>
        <v/>
      </c>
      <c r="P14" s="282" t="str">
        <f t="shared" si="2"/>
        <v/>
      </c>
      <c r="Q14" s="173"/>
      <c r="R14" s="282" t="str">
        <f>IF(OR(ISBLANK($D14),ISBLANK($K14),ISBLANK(Q14)),"",Ceilings!$V$3*Q14)</f>
        <v/>
      </c>
      <c r="S14" s="116" t="str">
        <f t="shared" si="3"/>
        <v/>
      </c>
    </row>
    <row r="15" spans="1:258" ht="15.75" customHeight="1">
      <c r="A15" s="52"/>
      <c r="B15" s="95" t="str">
        <f>IF(ISBLANK(A15),"",VLOOKUP(A15,Management!$A$6:$C$20,2,0))</f>
        <v/>
      </c>
      <c r="C15" s="81"/>
      <c r="D15" s="102"/>
      <c r="E15" s="81"/>
      <c r="F15" s="334"/>
      <c r="G15" s="182" t="str">
        <f t="shared" si="0"/>
        <v/>
      </c>
      <c r="H15" s="173"/>
      <c r="I15" s="334"/>
      <c r="J15" s="182" t="str">
        <f t="shared" si="1"/>
        <v/>
      </c>
      <c r="K15" s="125"/>
      <c r="L15" s="128"/>
      <c r="M15" s="282" t="str">
        <f>IF(ISBLANK(L15),"",SUM(E15,H15)*VLOOKUP(L15,Ceilings!$X$4:$Y$5,2,0))</f>
        <v/>
      </c>
      <c r="N15" s="283" t="str">
        <f>IF(OR(ISBLANK($D15),ISBLANK($K15)),"",IF(LEFT($D15,18)="Long-term teaching",VLOOKUP($K15,Subsistence,2,0)*14+VLOOKUP($K15,Subsistence,3,0)*46+IF($F15&gt;60,VLOOKUP($K15,Subsistence,4,0)*($F15-60),0),IF(LEFT($D15,18)="Short-term joint s",IF($F15&lt;15,Ceilings!$S$3*$F15,Ceilings!$S$3*14+Ceilings!$S$4*($F15-14)),IF($F15&lt;15,Ceilings!$S$6*$F15,Ceilings!$S$6*14+Ceilings!$S$7*($F15-14)))))</f>
        <v/>
      </c>
      <c r="O15" s="284" t="str">
        <f>IF(OR(ISBLANK(D15),ISBLANK(H15),ISBLANK(K15)),"",IF(I15&lt;15,Ceilings!$S$3*I15,Ceilings!$S$3*14+Ceilings!$S$4*(I15-14)))</f>
        <v/>
      </c>
      <c r="P15" s="282" t="str">
        <f t="shared" si="2"/>
        <v/>
      </c>
      <c r="Q15" s="173"/>
      <c r="R15" s="282" t="str">
        <f>IF(OR(ISBLANK($D15),ISBLANK($K15),ISBLANK(Q15)),"",Ceilings!$V$3*Q15)</f>
        <v/>
      </c>
      <c r="S15" s="116" t="str">
        <f t="shared" si="3"/>
        <v/>
      </c>
    </row>
    <row r="16" spans="1:258" ht="15.75" customHeight="1">
      <c r="A16" s="52"/>
      <c r="B16" s="95" t="str">
        <f>IF(ISBLANK(A16),"",VLOOKUP(A16,Management!$A$6:$C$20,2,0))</f>
        <v/>
      </c>
      <c r="C16" s="81"/>
      <c r="D16" s="102"/>
      <c r="E16" s="81"/>
      <c r="F16" s="334"/>
      <c r="G16" s="182" t="str">
        <f t="shared" si="0"/>
        <v/>
      </c>
      <c r="H16" s="173"/>
      <c r="I16" s="334"/>
      <c r="J16" s="182" t="str">
        <f t="shared" si="1"/>
        <v/>
      </c>
      <c r="K16" s="125"/>
      <c r="L16" s="128"/>
      <c r="M16" s="282" t="str">
        <f>IF(ISBLANK(L16),"",SUM(E16,H16)*VLOOKUP(L16,Ceilings!$X$4:$Y$5,2,0))</f>
        <v/>
      </c>
      <c r="N16" s="283" t="str">
        <f>IF(OR(ISBLANK($D16),ISBLANK($K16)),"",IF(LEFT($D16,18)="Long-term teaching",VLOOKUP($K16,Subsistence,2,0)*14+VLOOKUP($K16,Subsistence,3,0)*46+IF($F16&gt;60,VLOOKUP($K16,Subsistence,4,0)*($F16-60),0),IF(LEFT($D16,18)="Short-term joint s",IF($F16&lt;15,Ceilings!$S$3*$F16,Ceilings!$S$3*14+Ceilings!$S$4*($F16-14)),IF($F16&lt;15,Ceilings!$S$6*$F16,Ceilings!$S$6*14+Ceilings!$S$7*($F16-14)))))</f>
        <v/>
      </c>
      <c r="O16" s="284" t="str">
        <f>IF(OR(ISBLANK(D16),ISBLANK(H16),ISBLANK(K16)),"",IF(I16&lt;15,Ceilings!$S$3*I16,Ceilings!$S$3*14+Ceilings!$S$4*(I16-14)))</f>
        <v/>
      </c>
      <c r="P16" s="282" t="str">
        <f t="shared" si="2"/>
        <v/>
      </c>
      <c r="Q16" s="173"/>
      <c r="R16" s="282" t="str">
        <f>IF(OR(ISBLANK($D16),ISBLANK($K16),ISBLANK(Q16)),"",Ceilings!$V$3*Q16)</f>
        <v/>
      </c>
      <c r="S16" s="116" t="str">
        <f t="shared" si="3"/>
        <v/>
      </c>
    </row>
    <row r="17" spans="1:19" ht="15.75" customHeight="1">
      <c r="A17" s="52"/>
      <c r="B17" s="95" t="str">
        <f>IF(ISBLANK(A17),"",VLOOKUP(A17,Management!$A$6:$C$20,2,0))</f>
        <v/>
      </c>
      <c r="C17" s="81"/>
      <c r="D17" s="102"/>
      <c r="E17" s="81"/>
      <c r="F17" s="334"/>
      <c r="G17" s="182" t="str">
        <f t="shared" si="0"/>
        <v/>
      </c>
      <c r="H17" s="173"/>
      <c r="I17" s="334"/>
      <c r="J17" s="182" t="str">
        <f t="shared" si="1"/>
        <v/>
      </c>
      <c r="K17" s="125"/>
      <c r="L17" s="128"/>
      <c r="M17" s="282" t="str">
        <f>IF(ISBLANK(L17),"",SUM(E17,H17)*VLOOKUP(L17,Ceilings!$X$4:$Y$5,2,0))</f>
        <v/>
      </c>
      <c r="N17" s="283" t="str">
        <f>IF(OR(ISBLANK($D17),ISBLANK($K17)),"",IF(LEFT($D17,18)="Long-term teaching",VLOOKUP($K17,Subsistence,2,0)*14+VLOOKUP($K17,Subsistence,3,0)*46+IF($F17&gt;60,VLOOKUP($K17,Subsistence,4,0)*($F17-60),0),IF(LEFT($D17,18)="Short-term joint s",IF($F17&lt;15,Ceilings!$S$3*$F17,Ceilings!$S$3*14+Ceilings!$S$4*($F17-14)),IF($F17&lt;15,Ceilings!$S$6*$F17,Ceilings!$S$6*14+Ceilings!$S$7*($F17-14)))))</f>
        <v/>
      </c>
      <c r="O17" s="284" t="str">
        <f>IF(OR(ISBLANK(D17),ISBLANK(H17),ISBLANK(K17)),"",IF(I17&lt;15,Ceilings!$S$3*I17,Ceilings!$S$3*14+Ceilings!$S$4*(I17-14)))</f>
        <v/>
      </c>
      <c r="P17" s="282" t="str">
        <f t="shared" si="2"/>
        <v/>
      </c>
      <c r="Q17" s="173"/>
      <c r="R17" s="282" t="str">
        <f>IF(OR(ISBLANK($D17),ISBLANK($K17),ISBLANK(Q17)),"",Ceilings!$V$3*Q17)</f>
        <v/>
      </c>
      <c r="S17" s="116" t="str">
        <f t="shared" si="3"/>
        <v/>
      </c>
    </row>
    <row r="18" spans="1:19" ht="15.75" customHeight="1">
      <c r="A18" s="52"/>
      <c r="B18" s="95" t="str">
        <f>IF(ISBLANK(A18),"",VLOOKUP(A18,Management!$A$6:$C$20,2,0))</f>
        <v/>
      </c>
      <c r="C18" s="81"/>
      <c r="D18" s="102"/>
      <c r="E18" s="81"/>
      <c r="F18" s="334"/>
      <c r="G18" s="182" t="str">
        <f t="shared" si="0"/>
        <v/>
      </c>
      <c r="H18" s="173"/>
      <c r="I18" s="334"/>
      <c r="J18" s="182" t="str">
        <f t="shared" si="1"/>
        <v/>
      </c>
      <c r="K18" s="125"/>
      <c r="L18" s="128"/>
      <c r="M18" s="282" t="str">
        <f>IF(ISBLANK(L18),"",SUM(E18,H18)*VLOOKUP(L18,Ceilings!$X$4:$Y$5,2,0))</f>
        <v/>
      </c>
      <c r="N18" s="283" t="str">
        <f>IF(OR(ISBLANK($D18),ISBLANK($K18)),"",IF(LEFT($D18,18)="Long-term teaching",VLOOKUP($K18,Subsistence,2,0)*14+VLOOKUP($K18,Subsistence,3,0)*46+IF($F18&gt;60,VLOOKUP($K18,Subsistence,4,0)*($F18-60),0),IF(LEFT($D18,18)="Short-term joint s",IF($F18&lt;15,Ceilings!$S$3*$F18,Ceilings!$S$3*14+Ceilings!$S$4*($F18-14)),IF($F18&lt;15,Ceilings!$S$6*$F18,Ceilings!$S$6*14+Ceilings!$S$7*($F18-14)))))</f>
        <v/>
      </c>
      <c r="O18" s="284" t="str">
        <f>IF(OR(ISBLANK(D18),ISBLANK(H18),ISBLANK(K18)),"",IF(I18&lt;15,Ceilings!$S$3*I18,Ceilings!$S$3*14+Ceilings!$S$4*(I18-14)))</f>
        <v/>
      </c>
      <c r="P18" s="282" t="str">
        <f t="shared" si="2"/>
        <v/>
      </c>
      <c r="Q18" s="173"/>
      <c r="R18" s="282" t="str">
        <f>IF(OR(ISBLANK($D18),ISBLANK($K18),ISBLANK(Q18)),"",Ceilings!$V$3*Q18)</f>
        <v/>
      </c>
      <c r="S18" s="116" t="str">
        <f t="shared" si="3"/>
        <v/>
      </c>
    </row>
    <row r="19" spans="1:19" ht="15.75" customHeight="1">
      <c r="A19" s="52"/>
      <c r="B19" s="95" t="str">
        <f>IF(ISBLANK(A19),"",VLOOKUP(A19,Management!$A$6:$C$20,2,0))</f>
        <v/>
      </c>
      <c r="C19" s="81"/>
      <c r="D19" s="102"/>
      <c r="E19" s="81"/>
      <c r="F19" s="334"/>
      <c r="G19" s="182" t="str">
        <f t="shared" si="0"/>
        <v/>
      </c>
      <c r="H19" s="173"/>
      <c r="I19" s="334"/>
      <c r="J19" s="182" t="str">
        <f t="shared" si="1"/>
        <v/>
      </c>
      <c r="K19" s="125"/>
      <c r="L19" s="128"/>
      <c r="M19" s="282" t="str">
        <f>IF(ISBLANK(L19),"",SUM(E19,H19)*VLOOKUP(L19,Ceilings!$X$4:$Y$5,2,0))</f>
        <v/>
      </c>
      <c r="N19" s="283" t="str">
        <f>IF(OR(ISBLANK($D19),ISBLANK($K19)),"",IF(LEFT($D19,18)="Long-term teaching",VLOOKUP($K19,Subsistence,2,0)*14+VLOOKUP($K19,Subsistence,3,0)*46+IF($F19&gt;60,VLOOKUP($K19,Subsistence,4,0)*($F19-60),0),IF(LEFT($D19,18)="Short-term joint s",IF($F19&lt;15,Ceilings!$S$3*$F19,Ceilings!$S$3*14+Ceilings!$S$4*($F19-14)),IF($F19&lt;15,Ceilings!$S$6*$F19,Ceilings!$S$6*14+Ceilings!$S$7*($F19-14)))))</f>
        <v/>
      </c>
      <c r="O19" s="284" t="str">
        <f>IF(OR(ISBLANK(D19),ISBLANK(H19),ISBLANK(K19)),"",IF(I19&lt;15,Ceilings!$S$3*I19,Ceilings!$S$3*14+Ceilings!$S$4*(I19-14)))</f>
        <v/>
      </c>
      <c r="P19" s="282" t="str">
        <f t="shared" si="2"/>
        <v/>
      </c>
      <c r="Q19" s="173"/>
      <c r="R19" s="282" t="str">
        <f>IF(OR(ISBLANK($D19),ISBLANK($K19),ISBLANK(Q19)),"",Ceilings!$V$3*Q19)</f>
        <v/>
      </c>
      <c r="S19" s="116" t="str">
        <f t="shared" si="3"/>
        <v/>
      </c>
    </row>
    <row r="20" spans="1:19" ht="15.75" customHeight="1">
      <c r="A20" s="52"/>
      <c r="B20" s="95" t="str">
        <f>IF(ISBLANK(A20),"",VLOOKUP(A20,Management!$A$6:$C$20,2,0))</f>
        <v/>
      </c>
      <c r="C20" s="81"/>
      <c r="D20" s="102"/>
      <c r="E20" s="81"/>
      <c r="F20" s="334"/>
      <c r="G20" s="182" t="str">
        <f t="shared" si="0"/>
        <v/>
      </c>
      <c r="H20" s="173"/>
      <c r="I20" s="334"/>
      <c r="J20" s="182" t="str">
        <f t="shared" si="1"/>
        <v/>
      </c>
      <c r="K20" s="125"/>
      <c r="L20" s="128"/>
      <c r="M20" s="282" t="str">
        <f>IF(ISBLANK(L20),"",SUM(E20,H20)*VLOOKUP(L20,Ceilings!$X$4:$Y$5,2,0))</f>
        <v/>
      </c>
      <c r="N20" s="283" t="str">
        <f>IF(OR(ISBLANK($D20),ISBLANK($K20)),"",IF(LEFT($D20,18)="Long-term teaching",VLOOKUP($K20,Subsistence,2,0)*14+VLOOKUP($K20,Subsistence,3,0)*46+IF($F20&gt;60,VLOOKUP($K20,Subsistence,4,0)*($F20-60),0),IF(LEFT($D20,18)="Short-term joint s",IF($F20&lt;15,Ceilings!$S$3*$F20,Ceilings!$S$3*14+Ceilings!$S$4*($F20-14)),IF($F20&lt;15,Ceilings!$S$6*$F20,Ceilings!$S$6*14+Ceilings!$S$7*($F20-14)))))</f>
        <v/>
      </c>
      <c r="O20" s="284" t="str">
        <f>IF(OR(ISBLANK(D20),ISBLANK(H20),ISBLANK(K20)),"",IF(I20&lt;15,Ceilings!$S$3*I20,Ceilings!$S$3*14+Ceilings!$S$4*(I20-14)))</f>
        <v/>
      </c>
      <c r="P20" s="282" t="str">
        <f t="shared" si="2"/>
        <v/>
      </c>
      <c r="Q20" s="173"/>
      <c r="R20" s="282" t="str">
        <f>IF(OR(ISBLANK($D20),ISBLANK($K20),ISBLANK(Q20)),"",Ceilings!$V$3*Q20)</f>
        <v/>
      </c>
      <c r="S20" s="116" t="str">
        <f t="shared" si="3"/>
        <v/>
      </c>
    </row>
    <row r="21" spans="1:19" ht="15.75" customHeight="1">
      <c r="A21" s="52"/>
      <c r="B21" s="95" t="str">
        <f>IF(ISBLANK(A21),"",VLOOKUP(A21,Management!$A$6:$C$20,2,0))</f>
        <v/>
      </c>
      <c r="C21" s="81"/>
      <c r="D21" s="102"/>
      <c r="E21" s="81"/>
      <c r="F21" s="334"/>
      <c r="G21" s="182" t="str">
        <f t="shared" si="0"/>
        <v/>
      </c>
      <c r="H21" s="173"/>
      <c r="I21" s="334"/>
      <c r="J21" s="182" t="str">
        <f t="shared" si="1"/>
        <v/>
      </c>
      <c r="K21" s="125"/>
      <c r="L21" s="128"/>
      <c r="M21" s="282" t="str">
        <f>IF(ISBLANK(L21),"",SUM(E21,H21)*VLOOKUP(L21,Ceilings!$X$4:$Y$5,2,0))</f>
        <v/>
      </c>
      <c r="N21" s="283" t="str">
        <f>IF(OR(ISBLANK($D21),ISBLANK($K21)),"",IF(LEFT($D21,18)="Long-term teaching",VLOOKUP($K21,Subsistence,2,0)*14+VLOOKUP($K21,Subsistence,3,0)*46+IF($F21&gt;60,VLOOKUP($K21,Subsistence,4,0)*($F21-60),0),IF(LEFT($D21,18)="Short-term joint s",IF($F21&lt;15,Ceilings!$S$3*$F21,Ceilings!$S$3*14+Ceilings!$S$4*($F21-14)),IF($F21&lt;15,Ceilings!$S$6*$F21,Ceilings!$S$6*14+Ceilings!$S$7*($F21-14)))))</f>
        <v/>
      </c>
      <c r="O21" s="284" t="str">
        <f>IF(OR(ISBLANK(D21),ISBLANK(H21),ISBLANK(K21)),"",IF(I21&lt;15,Ceilings!$S$3*I21,Ceilings!$S$3*14+Ceilings!$S$4*(I21-14)))</f>
        <v/>
      </c>
      <c r="P21" s="282" t="str">
        <f t="shared" si="2"/>
        <v/>
      </c>
      <c r="Q21" s="173"/>
      <c r="R21" s="282" t="str">
        <f>IF(OR(ISBLANK($D21),ISBLANK($K21),ISBLANK(Q21)),"",Ceilings!$V$3*Q21)</f>
        <v/>
      </c>
      <c r="S21" s="116" t="str">
        <f t="shared" si="3"/>
        <v/>
      </c>
    </row>
    <row r="22" spans="1:19" ht="15.75" customHeight="1">
      <c r="A22" s="52"/>
      <c r="B22" s="95" t="str">
        <f>IF(ISBLANK(A22),"",VLOOKUP(A22,Management!$A$6:$C$20,2,0))</f>
        <v/>
      </c>
      <c r="C22" s="81"/>
      <c r="D22" s="102"/>
      <c r="E22" s="81"/>
      <c r="F22" s="334"/>
      <c r="G22" s="182" t="str">
        <f t="shared" si="0"/>
        <v/>
      </c>
      <c r="H22" s="173"/>
      <c r="I22" s="334"/>
      <c r="J22" s="182" t="str">
        <f t="shared" si="1"/>
        <v/>
      </c>
      <c r="K22" s="125"/>
      <c r="L22" s="128"/>
      <c r="M22" s="282" t="str">
        <f>IF(ISBLANK(L22),"",SUM(E22,H22)*VLOOKUP(L22,Ceilings!$X$4:$Y$5,2,0))</f>
        <v/>
      </c>
      <c r="N22" s="283" t="str">
        <f>IF(OR(ISBLANK($D22),ISBLANK($K22)),"",IF(LEFT($D22,18)="Long-term teaching",VLOOKUP($K22,Subsistence,2,0)*14+VLOOKUP($K22,Subsistence,3,0)*46+IF($F22&gt;60,VLOOKUP($K22,Subsistence,4,0)*($F22-60),0),IF(LEFT($D22,18)="Short-term joint s",IF($F22&lt;15,Ceilings!$S$3*$F22,Ceilings!$S$3*14+Ceilings!$S$4*($F22-14)),IF($F22&lt;15,Ceilings!$S$6*$F22,Ceilings!$S$6*14+Ceilings!$S$7*($F22-14)))))</f>
        <v/>
      </c>
      <c r="O22" s="284" t="str">
        <f>IF(OR(ISBLANK(D22),ISBLANK(H22),ISBLANK(K22)),"",IF(I22&lt;15,Ceilings!$S$3*I22,Ceilings!$S$3*14+Ceilings!$S$4*(I22-14)))</f>
        <v/>
      </c>
      <c r="P22" s="282" t="str">
        <f t="shared" si="2"/>
        <v/>
      </c>
      <c r="Q22" s="173"/>
      <c r="R22" s="282" t="str">
        <f>IF(OR(ISBLANK($D22),ISBLANK($K22),ISBLANK(Q22)),"",Ceilings!$V$3*Q22)</f>
        <v/>
      </c>
      <c r="S22" s="116" t="str">
        <f t="shared" si="3"/>
        <v/>
      </c>
    </row>
    <row r="23" spans="1:19" ht="15.75" customHeight="1">
      <c r="A23" s="52"/>
      <c r="B23" s="95" t="str">
        <f>IF(ISBLANK(A23),"",VLOOKUP(A23,Management!$A$6:$C$20,2,0))</f>
        <v/>
      </c>
      <c r="C23" s="81"/>
      <c r="D23" s="102"/>
      <c r="E23" s="81"/>
      <c r="F23" s="334"/>
      <c r="G23" s="182" t="str">
        <f t="shared" si="0"/>
        <v/>
      </c>
      <c r="H23" s="173"/>
      <c r="I23" s="334"/>
      <c r="J23" s="182" t="str">
        <f t="shared" si="1"/>
        <v/>
      </c>
      <c r="K23" s="125"/>
      <c r="L23" s="128"/>
      <c r="M23" s="282" t="str">
        <f>IF(ISBLANK(L23),"",SUM(E23,H23)*VLOOKUP(L23,Ceilings!$X$4:$Y$5,2,0))</f>
        <v/>
      </c>
      <c r="N23" s="283" t="str">
        <f>IF(OR(ISBLANK($D23),ISBLANK($K23)),"",IF(LEFT($D23,18)="Long-term teaching",VLOOKUP($K23,Subsistence,2,0)*14+VLOOKUP($K23,Subsistence,3,0)*46+IF($F23&gt;60,VLOOKUP($K23,Subsistence,4,0)*($F23-60),0),IF(LEFT($D23,18)="Short-term joint s",IF($F23&lt;15,Ceilings!$S$3*$F23,Ceilings!$S$3*14+Ceilings!$S$4*($F23-14)),IF($F23&lt;15,Ceilings!$S$6*$F23,Ceilings!$S$6*14+Ceilings!$S$7*($F23-14)))))</f>
        <v/>
      </c>
      <c r="O23" s="284" t="str">
        <f>IF(OR(ISBLANK(D23),ISBLANK(H23),ISBLANK(K23)),"",IF(I23&lt;15,Ceilings!$S$3*I23,Ceilings!$S$3*14+Ceilings!$S$4*(I23-14)))</f>
        <v/>
      </c>
      <c r="P23" s="282" t="str">
        <f t="shared" si="2"/>
        <v/>
      </c>
      <c r="Q23" s="173"/>
      <c r="R23" s="282" t="str">
        <f>IF(OR(ISBLANK($D23),ISBLANK($K23),ISBLANK(Q23)),"",Ceilings!$V$3*Q23)</f>
        <v/>
      </c>
      <c r="S23" s="116" t="str">
        <f t="shared" si="3"/>
        <v/>
      </c>
    </row>
    <row r="24" spans="1:19" ht="15.75" customHeight="1">
      <c r="A24" s="52"/>
      <c r="B24" s="95" t="str">
        <f>IF(ISBLANK(A24),"",VLOOKUP(A24,Management!$A$6:$C$20,2,0))</f>
        <v/>
      </c>
      <c r="C24" s="81"/>
      <c r="D24" s="102"/>
      <c r="E24" s="81"/>
      <c r="F24" s="334"/>
      <c r="G24" s="182" t="str">
        <f t="shared" si="0"/>
        <v/>
      </c>
      <c r="H24" s="173"/>
      <c r="I24" s="334"/>
      <c r="J24" s="182" t="str">
        <f t="shared" si="1"/>
        <v/>
      </c>
      <c r="K24" s="125"/>
      <c r="L24" s="128"/>
      <c r="M24" s="282" t="str">
        <f>IF(ISBLANK(L24),"",SUM(E24,H24)*VLOOKUP(L24,Ceilings!$X$4:$Y$5,2,0))</f>
        <v/>
      </c>
      <c r="N24" s="283" t="str">
        <f>IF(OR(ISBLANK($D24),ISBLANK($K24)),"",IF(LEFT($D24,18)="Long-term teaching",VLOOKUP($K24,Subsistence,2,0)*14+VLOOKUP($K24,Subsistence,3,0)*46+IF($F24&gt;60,VLOOKUP($K24,Subsistence,4,0)*($F24-60),0),IF(LEFT($D24,18)="Short-term joint s",IF($F24&lt;15,Ceilings!$S$3*$F24,Ceilings!$S$3*14+Ceilings!$S$4*($F24-14)),IF($F24&lt;15,Ceilings!$S$6*$F24,Ceilings!$S$6*14+Ceilings!$S$7*($F24-14)))))</f>
        <v/>
      </c>
      <c r="O24" s="284" t="str">
        <f>IF(OR(ISBLANK(D24),ISBLANK(H24),ISBLANK(K24)),"",IF(I24&lt;15,Ceilings!$S$3*I24,Ceilings!$S$3*14+Ceilings!$S$4*(I24-14)))</f>
        <v/>
      </c>
      <c r="P24" s="282" t="str">
        <f t="shared" si="2"/>
        <v/>
      </c>
      <c r="Q24" s="173"/>
      <c r="R24" s="282" t="str">
        <f>IF(OR(ISBLANK($D24),ISBLANK($K24),ISBLANK(Q24)),"",Ceilings!$V$3*Q24)</f>
        <v/>
      </c>
      <c r="S24" s="116" t="str">
        <f t="shared" si="3"/>
        <v/>
      </c>
    </row>
    <row r="25" spans="1:19" ht="15.75" customHeight="1">
      <c r="A25" s="52"/>
      <c r="B25" s="95" t="str">
        <f>IF(ISBLANK(A25),"",VLOOKUP(A25,Management!$A$6:$C$20,2,0))</f>
        <v/>
      </c>
      <c r="C25" s="81"/>
      <c r="D25" s="102"/>
      <c r="E25" s="81"/>
      <c r="F25" s="334"/>
      <c r="G25" s="182" t="str">
        <f t="shared" si="0"/>
        <v/>
      </c>
      <c r="H25" s="173"/>
      <c r="I25" s="334"/>
      <c r="J25" s="182" t="str">
        <f t="shared" si="1"/>
        <v/>
      </c>
      <c r="K25" s="125"/>
      <c r="L25" s="128"/>
      <c r="M25" s="282" t="str">
        <f>IF(ISBLANK(L25),"",SUM(E25,H25)*VLOOKUP(L25,Ceilings!$X$4:$Y$5,2,0))</f>
        <v/>
      </c>
      <c r="N25" s="283" t="str">
        <f>IF(OR(ISBLANK($D25),ISBLANK($K25)),"",IF(LEFT($D25,18)="Long-term teaching",VLOOKUP($K25,Subsistence,2,0)*14+VLOOKUP($K25,Subsistence,3,0)*46+IF($F25&gt;60,VLOOKUP($K25,Subsistence,4,0)*($F25-60),0),IF(LEFT($D25,18)="Short-term joint s",IF($F25&lt;15,Ceilings!$S$3*$F25,Ceilings!$S$3*14+Ceilings!$S$4*($F25-14)),IF($F25&lt;15,Ceilings!$S$6*$F25,Ceilings!$S$6*14+Ceilings!$S$7*($F25-14)))))</f>
        <v/>
      </c>
      <c r="O25" s="284" t="str">
        <f>IF(OR(ISBLANK(D25),ISBLANK(H25),ISBLANK(K25)),"",IF(I25&lt;15,Ceilings!$S$3*I25,Ceilings!$S$3*14+Ceilings!$S$4*(I25-14)))</f>
        <v/>
      </c>
      <c r="P25" s="282" t="str">
        <f t="shared" si="2"/>
        <v/>
      </c>
      <c r="Q25" s="173"/>
      <c r="R25" s="282" t="str">
        <f>IF(OR(ISBLANK($D25),ISBLANK($K25),ISBLANK(Q25)),"",Ceilings!$V$3*Q25)</f>
        <v/>
      </c>
      <c r="S25" s="116" t="str">
        <f t="shared" si="3"/>
        <v/>
      </c>
    </row>
    <row r="26" spans="1:19" ht="15.75" customHeight="1">
      <c r="A26" s="52"/>
      <c r="B26" s="95" t="str">
        <f>IF(ISBLANK(A26),"",VLOOKUP(A26,Management!$A$6:$C$20,2,0))</f>
        <v/>
      </c>
      <c r="C26" s="81"/>
      <c r="D26" s="102"/>
      <c r="E26" s="81"/>
      <c r="F26" s="334"/>
      <c r="G26" s="182" t="str">
        <f t="shared" si="0"/>
        <v/>
      </c>
      <c r="H26" s="173"/>
      <c r="I26" s="334"/>
      <c r="J26" s="182" t="str">
        <f t="shared" si="1"/>
        <v/>
      </c>
      <c r="K26" s="125"/>
      <c r="L26" s="128"/>
      <c r="M26" s="282" t="str">
        <f>IF(ISBLANK(L26),"",SUM(E26,H26)*VLOOKUP(L26,Ceilings!$X$4:$Y$5,2,0))</f>
        <v/>
      </c>
      <c r="N26" s="283" t="str">
        <f>IF(OR(ISBLANK($D26),ISBLANK($K26)),"",IF(LEFT($D26,18)="Long-term teaching",VLOOKUP($K26,Subsistence,2,0)*14+VLOOKUP($K26,Subsistence,3,0)*46+IF($F26&gt;60,VLOOKUP($K26,Subsistence,4,0)*($F26-60),0),IF(LEFT($D26,18)="Short-term joint s",IF($F26&lt;15,Ceilings!$S$3*$F26,Ceilings!$S$3*14+Ceilings!$S$4*($F26-14)),IF($F26&lt;15,Ceilings!$S$6*$F26,Ceilings!$S$6*14+Ceilings!$S$7*($F26-14)))))</f>
        <v/>
      </c>
      <c r="O26" s="284" t="str">
        <f>IF(OR(ISBLANK(D26),ISBLANK(H26),ISBLANK(K26)),"",IF(I26&lt;15,Ceilings!$S$3*I26,Ceilings!$S$3*14+Ceilings!$S$4*(I26-14)))</f>
        <v/>
      </c>
      <c r="P26" s="282" t="str">
        <f t="shared" si="2"/>
        <v/>
      </c>
      <c r="Q26" s="173"/>
      <c r="R26" s="282" t="str">
        <f>IF(OR(ISBLANK($D26),ISBLANK($K26),ISBLANK(Q26)),"",Ceilings!$V$3*Q26)</f>
        <v/>
      </c>
      <c r="S26" s="116" t="str">
        <f t="shared" si="3"/>
        <v/>
      </c>
    </row>
    <row r="27" spans="1:19" ht="15.75" customHeight="1">
      <c r="A27" s="52"/>
      <c r="B27" s="95" t="str">
        <f>IF(ISBLANK(A27),"",VLOOKUP(A27,Management!$A$6:$C$20,2,0))</f>
        <v/>
      </c>
      <c r="C27" s="81"/>
      <c r="D27" s="102"/>
      <c r="E27" s="81"/>
      <c r="F27" s="334"/>
      <c r="G27" s="182" t="str">
        <f t="shared" si="0"/>
        <v/>
      </c>
      <c r="H27" s="173"/>
      <c r="I27" s="334"/>
      <c r="J27" s="182" t="str">
        <f t="shared" si="1"/>
        <v/>
      </c>
      <c r="K27" s="125"/>
      <c r="L27" s="128"/>
      <c r="M27" s="282" t="str">
        <f>IF(ISBLANK(L27),"",SUM(E27,H27)*VLOOKUP(L27,Ceilings!$X$4:$Y$5,2,0))</f>
        <v/>
      </c>
      <c r="N27" s="283" t="str">
        <f>IF(OR(ISBLANK($D27),ISBLANK($K27)),"",IF(LEFT($D27,18)="Long-term teaching",VLOOKUP($K27,Subsistence,2,0)*14+VLOOKUP($K27,Subsistence,3,0)*46+IF($F27&gt;60,VLOOKUP($K27,Subsistence,4,0)*($F27-60),0),IF(LEFT($D27,18)="Short-term joint s",IF($F27&lt;15,Ceilings!$S$3*$F27,Ceilings!$S$3*14+Ceilings!$S$4*($F27-14)),IF($F27&lt;15,Ceilings!$S$6*$F27,Ceilings!$S$6*14+Ceilings!$S$7*($F27-14)))))</f>
        <v/>
      </c>
      <c r="O27" s="284" t="str">
        <f>IF(OR(ISBLANK(D27),ISBLANK(H27),ISBLANK(K27)),"",IF(I27&lt;15,Ceilings!$S$3*I27,Ceilings!$S$3*14+Ceilings!$S$4*(I27-14)))</f>
        <v/>
      </c>
      <c r="P27" s="282" t="str">
        <f t="shared" si="2"/>
        <v/>
      </c>
      <c r="Q27" s="173"/>
      <c r="R27" s="282" t="str">
        <f>IF(OR(ISBLANK($D27),ISBLANK($K27),ISBLANK(Q27)),"",Ceilings!$V$3*Q27)</f>
        <v/>
      </c>
      <c r="S27" s="116" t="str">
        <f t="shared" si="3"/>
        <v/>
      </c>
    </row>
    <row r="28" spans="1:19" ht="15.75" customHeight="1">
      <c r="A28" s="52"/>
      <c r="B28" s="95" t="str">
        <f>IF(ISBLANK(A28),"",VLOOKUP(A28,Management!$A$6:$C$20,2,0))</f>
        <v/>
      </c>
      <c r="C28" s="81"/>
      <c r="D28" s="102"/>
      <c r="E28" s="81"/>
      <c r="F28" s="334"/>
      <c r="G28" s="182" t="str">
        <f t="shared" si="0"/>
        <v/>
      </c>
      <c r="H28" s="173"/>
      <c r="I28" s="334"/>
      <c r="J28" s="182" t="str">
        <f t="shared" si="1"/>
        <v/>
      </c>
      <c r="K28" s="125"/>
      <c r="L28" s="128"/>
      <c r="M28" s="282" t="str">
        <f>IF(ISBLANK(L28),"",SUM(E28,H28)*VLOOKUP(L28,Ceilings!$X$4:$Y$5,2,0))</f>
        <v/>
      </c>
      <c r="N28" s="283" t="str">
        <f>IF(OR(ISBLANK($D28),ISBLANK($K28)),"",IF(LEFT($D28,18)="Long-term teaching",VLOOKUP($K28,Subsistence,2,0)*14+VLOOKUP($K28,Subsistence,3,0)*46+IF($F28&gt;60,VLOOKUP($K28,Subsistence,4,0)*($F28-60),0),IF(LEFT($D28,18)="Short-term joint s",IF($F28&lt;15,Ceilings!$S$3*$F28,Ceilings!$S$3*14+Ceilings!$S$4*($F28-14)),IF($F28&lt;15,Ceilings!$S$6*$F28,Ceilings!$S$6*14+Ceilings!$S$7*($F28-14)))))</f>
        <v/>
      </c>
      <c r="O28" s="284" t="str">
        <f>IF(OR(ISBLANK(D28),ISBLANK(H28),ISBLANK(K28)),"",IF(I28&lt;15,Ceilings!$S$3*I28,Ceilings!$S$3*14+Ceilings!$S$4*(I28-14)))</f>
        <v/>
      </c>
      <c r="P28" s="282" t="str">
        <f t="shared" si="2"/>
        <v/>
      </c>
      <c r="Q28" s="173"/>
      <c r="R28" s="282" t="str">
        <f>IF(OR(ISBLANK($D28),ISBLANK($K28),ISBLANK(Q28)),"",Ceilings!$V$3*Q28)</f>
        <v/>
      </c>
      <c r="S28" s="116" t="str">
        <f t="shared" si="3"/>
        <v/>
      </c>
    </row>
    <row r="29" spans="1:19" ht="15.75" customHeight="1">
      <c r="A29" s="52"/>
      <c r="B29" s="95" t="str">
        <f>IF(ISBLANK(A29),"",VLOOKUP(A29,Management!$A$6:$C$20,2,0))</f>
        <v/>
      </c>
      <c r="C29" s="81"/>
      <c r="D29" s="102"/>
      <c r="E29" s="81"/>
      <c r="F29" s="334"/>
      <c r="G29" s="182" t="str">
        <f t="shared" si="0"/>
        <v/>
      </c>
      <c r="H29" s="173"/>
      <c r="I29" s="334"/>
      <c r="J29" s="182" t="str">
        <f t="shared" si="1"/>
        <v/>
      </c>
      <c r="K29" s="125"/>
      <c r="L29" s="128"/>
      <c r="M29" s="282" t="str">
        <f>IF(ISBLANK(L29),"",SUM(E29,H29)*VLOOKUP(L29,Ceilings!$X$4:$Y$5,2,0))</f>
        <v/>
      </c>
      <c r="N29" s="283" t="str">
        <f>IF(OR(ISBLANK($D29),ISBLANK($K29)),"",IF(LEFT($D29,18)="Long-term teaching",VLOOKUP($K29,Subsistence,2,0)*14+VLOOKUP($K29,Subsistence,3,0)*46+IF($F29&gt;60,VLOOKUP($K29,Subsistence,4,0)*($F29-60),0),IF(LEFT($D29,18)="Short-term joint s",IF($F29&lt;15,Ceilings!$S$3*$F29,Ceilings!$S$3*14+Ceilings!$S$4*($F29-14)),IF($F29&lt;15,Ceilings!$S$6*$F29,Ceilings!$S$6*14+Ceilings!$S$7*($F29-14)))))</f>
        <v/>
      </c>
      <c r="O29" s="284" t="str">
        <f>IF(OR(ISBLANK(D29),ISBLANK(H29),ISBLANK(K29)),"",IF(I29&lt;15,Ceilings!$S$3*I29,Ceilings!$S$3*14+Ceilings!$S$4*(I29-14)))</f>
        <v/>
      </c>
      <c r="P29" s="282" t="str">
        <f t="shared" si="2"/>
        <v/>
      </c>
      <c r="Q29" s="173"/>
      <c r="R29" s="282" t="str">
        <f>IF(OR(ISBLANK($D29),ISBLANK($K29),ISBLANK(Q29)),"",Ceilings!$V$3*Q29)</f>
        <v/>
      </c>
      <c r="S29" s="116" t="str">
        <f t="shared" si="3"/>
        <v/>
      </c>
    </row>
    <row r="30" spans="1:19" ht="15.75" customHeight="1">
      <c r="A30" s="52"/>
      <c r="B30" s="95" t="str">
        <f>IF(ISBLANK(A30),"",VLOOKUP(A30,Management!$A$6:$C$20,2,0))</f>
        <v/>
      </c>
      <c r="C30" s="81"/>
      <c r="D30" s="102"/>
      <c r="E30" s="81"/>
      <c r="F30" s="334"/>
      <c r="G30" s="182" t="str">
        <f t="shared" si="0"/>
        <v/>
      </c>
      <c r="H30" s="173"/>
      <c r="I30" s="334"/>
      <c r="J30" s="182" t="str">
        <f t="shared" si="1"/>
        <v/>
      </c>
      <c r="K30" s="125"/>
      <c r="L30" s="128"/>
      <c r="M30" s="282" t="str">
        <f>IF(ISBLANK(L30),"",SUM(E30,H30)*VLOOKUP(L30,Ceilings!$X$4:$Y$5,2,0))</f>
        <v/>
      </c>
      <c r="N30" s="283" t="str">
        <f>IF(OR(ISBLANK($D30),ISBLANK($K30)),"",IF(LEFT($D30,18)="Long-term teaching",VLOOKUP($K30,Subsistence,2,0)*14+VLOOKUP($K30,Subsistence,3,0)*46+IF($F30&gt;60,VLOOKUP($K30,Subsistence,4,0)*($F30-60),0),IF(LEFT($D30,18)="Short-term joint s",IF($F30&lt;15,Ceilings!$S$3*$F30,Ceilings!$S$3*14+Ceilings!$S$4*($F30-14)),IF($F30&lt;15,Ceilings!$S$6*$F30,Ceilings!$S$6*14+Ceilings!$S$7*($F30-14)))))</f>
        <v/>
      </c>
      <c r="O30" s="284" t="str">
        <f>IF(OR(ISBLANK(D30),ISBLANK(H30),ISBLANK(K30)),"",IF(I30&lt;15,Ceilings!$S$3*I30,Ceilings!$S$3*14+Ceilings!$S$4*(I30-14)))</f>
        <v/>
      </c>
      <c r="P30" s="282" t="str">
        <f t="shared" si="2"/>
        <v/>
      </c>
      <c r="Q30" s="173"/>
      <c r="R30" s="282" t="str">
        <f>IF(OR(ISBLANK($D30),ISBLANK($K30),ISBLANK(Q30)),"",Ceilings!$V$3*Q30)</f>
        <v/>
      </c>
      <c r="S30" s="116" t="str">
        <f t="shared" si="3"/>
        <v/>
      </c>
    </row>
    <row r="31" spans="1:19" ht="15.75" customHeight="1">
      <c r="A31" s="52"/>
      <c r="B31" s="95" t="str">
        <f>IF(ISBLANK(A31),"",VLOOKUP(A31,Management!$A$6:$C$20,2,0))</f>
        <v/>
      </c>
      <c r="C31" s="81"/>
      <c r="D31" s="102"/>
      <c r="E31" s="81"/>
      <c r="F31" s="334"/>
      <c r="G31" s="182" t="str">
        <f t="shared" si="0"/>
        <v/>
      </c>
      <c r="H31" s="173"/>
      <c r="I31" s="334"/>
      <c r="J31" s="182" t="str">
        <f t="shared" si="1"/>
        <v/>
      </c>
      <c r="K31" s="125"/>
      <c r="L31" s="128"/>
      <c r="M31" s="282" t="str">
        <f>IF(ISBLANK(L31),"",SUM(E31,H31)*VLOOKUP(L31,Ceilings!$X$4:$Y$5,2,0))</f>
        <v/>
      </c>
      <c r="N31" s="283" t="str">
        <f>IF(OR(ISBLANK($D31),ISBLANK($K31)),"",IF(LEFT($D31,18)="Long-term teaching",VLOOKUP($K31,Subsistence,2,0)*14+VLOOKUP($K31,Subsistence,3,0)*46+IF($F31&gt;60,VLOOKUP($K31,Subsistence,4,0)*($F31-60),0),IF(LEFT($D31,18)="Short-term joint s",IF($F31&lt;15,Ceilings!$S$3*$F31,Ceilings!$S$3*14+Ceilings!$S$4*($F31-14)),IF($F31&lt;15,Ceilings!$S$6*$F31,Ceilings!$S$6*14+Ceilings!$S$7*($F31-14)))))</f>
        <v/>
      </c>
      <c r="O31" s="284" t="str">
        <f>IF(OR(ISBLANK(D31),ISBLANK(H31),ISBLANK(K31)),"",IF(I31&lt;15,Ceilings!$S$3*I31,Ceilings!$S$3*14+Ceilings!$S$4*(I31-14)))</f>
        <v/>
      </c>
      <c r="P31" s="282" t="str">
        <f t="shared" si="2"/>
        <v/>
      </c>
      <c r="Q31" s="173"/>
      <c r="R31" s="282" t="str">
        <f>IF(OR(ISBLANK($D31),ISBLANK($K31),ISBLANK(Q31)),"",Ceilings!$V$3*Q31)</f>
        <v/>
      </c>
      <c r="S31" s="116" t="str">
        <f t="shared" si="3"/>
        <v/>
      </c>
    </row>
    <row r="32" spans="1:19" ht="15.75" customHeight="1">
      <c r="A32" s="52"/>
      <c r="B32" s="95" t="str">
        <f>IF(ISBLANK(A32),"",VLOOKUP(A32,Management!$A$6:$C$20,2,0))</f>
        <v/>
      </c>
      <c r="C32" s="81"/>
      <c r="D32" s="102"/>
      <c r="E32" s="81"/>
      <c r="F32" s="334"/>
      <c r="G32" s="182" t="str">
        <f t="shared" si="0"/>
        <v/>
      </c>
      <c r="H32" s="173"/>
      <c r="I32" s="334"/>
      <c r="J32" s="182" t="str">
        <f t="shared" si="1"/>
        <v/>
      </c>
      <c r="K32" s="125"/>
      <c r="L32" s="128"/>
      <c r="M32" s="282" t="str">
        <f>IF(ISBLANK(L32),"",SUM(E32,H32)*VLOOKUP(L32,Ceilings!$X$4:$Y$5,2,0))</f>
        <v/>
      </c>
      <c r="N32" s="283" t="str">
        <f>IF(OR(ISBLANK($D32),ISBLANK($K32)),"",IF(LEFT($D32,18)="Long-term teaching",VLOOKUP($K32,Subsistence,2,0)*14+VLOOKUP($K32,Subsistence,3,0)*46+IF($F32&gt;60,VLOOKUP($K32,Subsistence,4,0)*($F32-60),0),IF(LEFT($D32,18)="Short-term joint s",IF($F32&lt;15,Ceilings!$S$3*$F32,Ceilings!$S$3*14+Ceilings!$S$4*($F32-14)),IF($F32&lt;15,Ceilings!$S$6*$F32,Ceilings!$S$6*14+Ceilings!$S$7*($F32-14)))))</f>
        <v/>
      </c>
      <c r="O32" s="284" t="str">
        <f>IF(OR(ISBLANK(D32),ISBLANK(H32),ISBLANK(K32)),"",IF(I32&lt;15,Ceilings!$S$3*I32,Ceilings!$S$3*14+Ceilings!$S$4*(I32-14)))</f>
        <v/>
      </c>
      <c r="P32" s="282" t="str">
        <f t="shared" si="2"/>
        <v/>
      </c>
      <c r="Q32" s="173"/>
      <c r="R32" s="282" t="str">
        <f>IF(OR(ISBLANK($D32),ISBLANK($K32),ISBLANK(Q32)),"",Ceilings!$V$3*Q32)</f>
        <v/>
      </c>
      <c r="S32" s="116" t="str">
        <f t="shared" si="3"/>
        <v/>
      </c>
    </row>
    <row r="33" spans="1:19" ht="15.75" customHeight="1">
      <c r="A33" s="52"/>
      <c r="B33" s="95" t="str">
        <f>IF(ISBLANK(A33),"",VLOOKUP(A33,Management!$A$6:$C$20,2,0))</f>
        <v/>
      </c>
      <c r="C33" s="81"/>
      <c r="D33" s="102"/>
      <c r="E33" s="81"/>
      <c r="F33" s="334"/>
      <c r="G33" s="182" t="str">
        <f t="shared" si="0"/>
        <v/>
      </c>
      <c r="H33" s="173"/>
      <c r="I33" s="334"/>
      <c r="J33" s="182" t="str">
        <f t="shared" si="1"/>
        <v/>
      </c>
      <c r="K33" s="125"/>
      <c r="L33" s="128"/>
      <c r="M33" s="282" t="str">
        <f>IF(ISBLANK(L33),"",SUM(E33,H33)*VLOOKUP(L33,Ceilings!$X$4:$Y$5,2,0))</f>
        <v/>
      </c>
      <c r="N33" s="283" t="str">
        <f>IF(OR(ISBLANK($D33),ISBLANK($K33)),"",IF(LEFT($D33,18)="Long-term teaching",VLOOKUP($K33,Subsistence,2,0)*14+VLOOKUP($K33,Subsistence,3,0)*46+IF($F33&gt;60,VLOOKUP($K33,Subsistence,4,0)*($F33-60),0),IF(LEFT($D33,18)="Short-term joint s",IF($F33&lt;15,Ceilings!$S$3*$F33,Ceilings!$S$3*14+Ceilings!$S$4*($F33-14)),IF($F33&lt;15,Ceilings!$S$6*$F33,Ceilings!$S$6*14+Ceilings!$S$7*($F33-14)))))</f>
        <v/>
      </c>
      <c r="O33" s="284" t="str">
        <f>IF(OR(ISBLANK(D33),ISBLANK(H33),ISBLANK(K33)),"",IF(I33&lt;15,Ceilings!$S$3*I33,Ceilings!$S$3*14+Ceilings!$S$4*(I33-14)))</f>
        <v/>
      </c>
      <c r="P33" s="282" t="str">
        <f t="shared" si="2"/>
        <v/>
      </c>
      <c r="Q33" s="173"/>
      <c r="R33" s="282" t="str">
        <f>IF(OR(ISBLANK($D33),ISBLANK($K33),ISBLANK(Q33)),"",Ceilings!$V$3*Q33)</f>
        <v/>
      </c>
      <c r="S33" s="116" t="str">
        <f t="shared" si="3"/>
        <v/>
      </c>
    </row>
    <row r="34" spans="1:19" ht="15.75" customHeight="1">
      <c r="A34" s="52"/>
      <c r="B34" s="95" t="str">
        <f>IF(ISBLANK(A34),"",VLOOKUP(A34,Management!$A$6:$C$20,2,0))</f>
        <v/>
      </c>
      <c r="C34" s="81"/>
      <c r="D34" s="102"/>
      <c r="E34" s="81"/>
      <c r="F34" s="334"/>
      <c r="G34" s="182" t="str">
        <f t="shared" si="0"/>
        <v/>
      </c>
      <c r="H34" s="173"/>
      <c r="I34" s="334"/>
      <c r="J34" s="182" t="str">
        <f t="shared" si="1"/>
        <v/>
      </c>
      <c r="K34" s="125"/>
      <c r="L34" s="128"/>
      <c r="M34" s="282" t="str">
        <f>IF(ISBLANK(L34),"",SUM(E34,H34)*VLOOKUP(L34,Ceilings!$X$4:$Y$5,2,0))</f>
        <v/>
      </c>
      <c r="N34" s="283" t="str">
        <f>IF(OR(ISBLANK($D34),ISBLANK($K34)),"",IF(LEFT($D34,18)="Long-term teaching",VLOOKUP($K34,Subsistence,2,0)*14+VLOOKUP($K34,Subsistence,3,0)*46+IF($F34&gt;60,VLOOKUP($K34,Subsistence,4,0)*($F34-60),0),IF(LEFT($D34,18)="Short-term joint s",IF($F34&lt;15,Ceilings!$S$3*$F34,Ceilings!$S$3*14+Ceilings!$S$4*($F34-14)),IF($F34&lt;15,Ceilings!$S$6*$F34,Ceilings!$S$6*14+Ceilings!$S$7*($F34-14)))))</f>
        <v/>
      </c>
      <c r="O34" s="284" t="str">
        <f>IF(OR(ISBLANK(D34),ISBLANK(H34),ISBLANK(K34)),"",IF(I34&lt;15,Ceilings!$S$3*I34,Ceilings!$S$3*14+Ceilings!$S$4*(I34-14)))</f>
        <v/>
      </c>
      <c r="P34" s="282" t="str">
        <f t="shared" si="2"/>
        <v/>
      </c>
      <c r="Q34" s="173"/>
      <c r="R34" s="282" t="str">
        <f>IF(OR(ISBLANK($D34),ISBLANK($K34),ISBLANK(Q34)),"",Ceilings!$V$3*Q34)</f>
        <v/>
      </c>
      <c r="S34" s="116" t="str">
        <f t="shared" si="3"/>
        <v/>
      </c>
    </row>
    <row r="35" spans="1:19" ht="15.75" customHeight="1">
      <c r="A35" s="52"/>
      <c r="B35" s="95" t="str">
        <f>IF(ISBLANK(A35),"",VLOOKUP(A35,Management!$A$6:$C$20,2,0))</f>
        <v/>
      </c>
      <c r="C35" s="81"/>
      <c r="D35" s="102"/>
      <c r="E35" s="81"/>
      <c r="F35" s="334"/>
      <c r="G35" s="182" t="str">
        <f t="shared" si="0"/>
        <v/>
      </c>
      <c r="H35" s="173"/>
      <c r="I35" s="334"/>
      <c r="J35" s="182" t="str">
        <f t="shared" si="1"/>
        <v/>
      </c>
      <c r="K35" s="125"/>
      <c r="L35" s="128"/>
      <c r="M35" s="282" t="str">
        <f>IF(ISBLANK(L35),"",SUM(E35,H35)*VLOOKUP(L35,Ceilings!$X$4:$Y$5,2,0))</f>
        <v/>
      </c>
      <c r="N35" s="283" t="str">
        <f>IF(OR(ISBLANK($D35),ISBLANK($K35)),"",IF(LEFT($D35,18)="Long-term teaching",VLOOKUP($K35,Subsistence,2,0)*14+VLOOKUP($K35,Subsistence,3,0)*46+IF($F35&gt;60,VLOOKUP($K35,Subsistence,4,0)*($F35-60),0),IF(LEFT($D35,18)="Short-term joint s",IF($F35&lt;15,Ceilings!$S$3*$F35,Ceilings!$S$3*14+Ceilings!$S$4*($F35-14)),IF($F35&lt;15,Ceilings!$S$6*$F35,Ceilings!$S$6*14+Ceilings!$S$7*($F35-14)))))</f>
        <v/>
      </c>
      <c r="O35" s="284" t="str">
        <f>IF(OR(ISBLANK(D35),ISBLANK(H35),ISBLANK(K35)),"",IF(I35&lt;15,Ceilings!$S$3*I35,Ceilings!$S$3*14+Ceilings!$S$4*(I35-14)))</f>
        <v/>
      </c>
      <c r="P35" s="282" t="str">
        <f t="shared" si="2"/>
        <v/>
      </c>
      <c r="Q35" s="173"/>
      <c r="R35" s="282" t="str">
        <f>IF(OR(ISBLANK($D35),ISBLANK($K35),ISBLANK(Q35)),"",Ceilings!$V$3*Q35)</f>
        <v/>
      </c>
      <c r="S35" s="116" t="str">
        <f t="shared" si="3"/>
        <v/>
      </c>
    </row>
    <row r="36" spans="1:19" ht="15.75" customHeight="1">
      <c r="A36" s="52"/>
      <c r="B36" s="95" t="str">
        <f>IF(ISBLANK(A36),"",VLOOKUP(A36,Management!$A$6:$C$20,2,0))</f>
        <v/>
      </c>
      <c r="C36" s="81"/>
      <c r="D36" s="102"/>
      <c r="E36" s="81"/>
      <c r="F36" s="334"/>
      <c r="G36" s="182" t="str">
        <f t="shared" si="0"/>
        <v/>
      </c>
      <c r="H36" s="173"/>
      <c r="I36" s="334"/>
      <c r="J36" s="182" t="str">
        <f t="shared" si="1"/>
        <v/>
      </c>
      <c r="K36" s="125"/>
      <c r="L36" s="128"/>
      <c r="M36" s="282" t="str">
        <f>IF(ISBLANK(L36),"",SUM(E36,H36)*VLOOKUP(L36,Ceilings!$X$4:$Y$5,2,0))</f>
        <v/>
      </c>
      <c r="N36" s="283" t="str">
        <f>IF(OR(ISBLANK($D36),ISBLANK($K36)),"",IF(LEFT($D36,18)="Long-term teaching",VLOOKUP($K36,Subsistence,2,0)*14+VLOOKUP($K36,Subsistence,3,0)*46+IF($F36&gt;60,VLOOKUP($K36,Subsistence,4,0)*($F36-60),0),IF(LEFT($D36,18)="Short-term joint s",IF($F36&lt;15,Ceilings!$S$3*$F36,Ceilings!$S$3*14+Ceilings!$S$4*($F36-14)),IF($F36&lt;15,Ceilings!$S$6*$F36,Ceilings!$S$6*14+Ceilings!$S$7*($F36-14)))))</f>
        <v/>
      </c>
      <c r="O36" s="284" t="str">
        <f>IF(OR(ISBLANK(D36),ISBLANK(H36),ISBLANK(K36)),"",IF(I36&lt;15,Ceilings!$S$3*I36,Ceilings!$S$3*14+Ceilings!$S$4*(I36-14)))</f>
        <v/>
      </c>
      <c r="P36" s="282" t="str">
        <f t="shared" si="2"/>
        <v/>
      </c>
      <c r="Q36" s="173"/>
      <c r="R36" s="282" t="str">
        <f>IF(OR(ISBLANK($D36),ISBLANK($K36),ISBLANK(Q36)),"",Ceilings!$V$3*Q36)</f>
        <v/>
      </c>
      <c r="S36" s="116" t="str">
        <f t="shared" si="3"/>
        <v/>
      </c>
    </row>
    <row r="37" spans="1:19" ht="15.75" customHeight="1" thickBot="1">
      <c r="A37" s="55"/>
      <c r="B37" s="96" t="str">
        <f>IF(ISBLANK(A37),"",VLOOKUP(A37,Management!$A$6:$C$20,2,0))</f>
        <v/>
      </c>
      <c r="C37" s="83"/>
      <c r="D37" s="103"/>
      <c r="E37" s="83"/>
      <c r="F37" s="335"/>
      <c r="G37" s="183" t="str">
        <f t="shared" si="0"/>
        <v/>
      </c>
      <c r="H37" s="174"/>
      <c r="I37" s="335"/>
      <c r="J37" s="183" t="str">
        <f t="shared" si="1"/>
        <v/>
      </c>
      <c r="K37" s="126"/>
      <c r="L37" s="129"/>
      <c r="M37" s="285" t="str">
        <f>IF(ISBLANK(L37),"",SUM(E37,H37)*VLOOKUP(L37,Ceilings!$X$4:$Y$5,2,0))</f>
        <v/>
      </c>
      <c r="N37" s="286" t="str">
        <f>IF(OR(ISBLANK($D37),ISBLANK($K37)),"",IF(LEFT($D37,18)="Long-term teaching",VLOOKUP($K37,Subsistence,2,0)*14+VLOOKUP($K37,Subsistence,3,0)*46+IF($F37&gt;60,VLOOKUP($K37,Subsistence,4,0)*($F37-60),0),IF(LEFT($D37,18)="Short-term joint s",IF($F37&lt;15,Ceilings!$S$3*$F37,Ceilings!$S$3*14+Ceilings!$S$4*($F37-14)),IF($F37&lt;15,Ceilings!$S$6*$F37,Ceilings!$S$6*14+Ceilings!$S$7*($F37-14)))))</f>
        <v/>
      </c>
      <c r="O37" s="287" t="str">
        <f>IF(OR(ISBLANK(D37),ISBLANK(H37),ISBLANK(K37)),"",IF(I37&lt;15,Ceilings!$S$3*I37,Ceilings!$S$3*14+Ceilings!$S$4*(I37-14)))</f>
        <v/>
      </c>
      <c r="P37" s="285" t="str">
        <f t="shared" si="2"/>
        <v/>
      </c>
      <c r="Q37" s="174"/>
      <c r="R37" s="285" t="str">
        <f>IF(OR(ISBLANK($D37),ISBLANK($K37),ISBLANK(Q37)),"",Ceilings!$V$3*Q37)</f>
        <v/>
      </c>
      <c r="S37" s="120" t="str">
        <f t="shared" si="3"/>
        <v/>
      </c>
    </row>
  </sheetData>
  <sheetProtection password="CF02" sheet="1" objects="1" scenarios="1" sort="0" autoFilter="0"/>
  <mergeCells count="18">
    <mergeCell ref="D2:E2"/>
    <mergeCell ref="F1:I2"/>
    <mergeCell ref="C4:C5"/>
    <mergeCell ref="B4:B5"/>
    <mergeCell ref="A4:A5"/>
    <mergeCell ref="D4:D5"/>
    <mergeCell ref="E4:E5"/>
    <mergeCell ref="H4:H5"/>
    <mergeCell ref="I4:J5"/>
    <mergeCell ref="F4:G5"/>
    <mergeCell ref="S4:S5"/>
    <mergeCell ref="M4:M5"/>
    <mergeCell ref="L4:L5"/>
    <mergeCell ref="K4:K5"/>
    <mergeCell ref="K1:Q1"/>
    <mergeCell ref="K2:Q2"/>
    <mergeCell ref="Q4:R4"/>
    <mergeCell ref="N4:P4"/>
  </mergeCells>
  <phoneticPr fontId="7" type="noConversion"/>
  <conditionalFormatting sqref="H7:H37">
    <cfRule type="expression" dxfId="10" priority="5" stopIfTrue="1">
      <formula>LEFT($D7,18)="Short-term blended"</formula>
    </cfRule>
  </conditionalFormatting>
  <conditionalFormatting sqref="Q7:Q37">
    <cfRule type="expression" dxfId="9" priority="4" stopIfTrue="1">
      <formula>LEFT($D7,4)="Long"</formula>
    </cfRule>
  </conditionalFormatting>
  <conditionalFormatting sqref="K7:K37">
    <cfRule type="expression" priority="1" stopIfTrue="1">
      <formula>ISBLANK(K7)</formula>
    </cfRule>
    <cfRule type="expression" priority="2" stopIfTrue="1">
      <formula>LEFT($D7,16)="Short term joint"</formula>
    </cfRule>
    <cfRule type="cellIs" dxfId="8" priority="3" stopIfTrue="1" operator="equal">
      <formula>$B7</formula>
    </cfRule>
  </conditionalFormatting>
  <dataValidations count="9">
    <dataValidation type="custom" allowBlank="1" showErrorMessage="1" error="Long-term teaching or training must be between 60 and 365 days, otherwise between 5 and 60 days." sqref="F7:F37">
      <formula1>IF(LEFT($D7,4)="Long",AND(F7&gt;59,F7&lt;366),AND(F7&gt;4,F7&lt;61))</formula1>
    </dataValidation>
    <dataValidation allowBlank="1" error="Long-term teaching or training assignments &lt; 367 days, otherwise between 5 and 60 days." sqref="G7:G37 J7:J37"/>
    <dataValidation type="list" allowBlank="1" showInputMessage="1" showErrorMessage="1" sqref="L7:L37">
      <formula1>Distances</formula1>
    </dataValidation>
    <dataValidation type="list" allowBlank="1" showInputMessage="1" showErrorMessage="1" sqref="D7:D37">
      <formula1>IF(ISNA(MATCH(B7,PCountries,0)),Activity_t,V_Activity_t)</formula1>
    </dataValidation>
    <dataValidation type="list" allowBlank="1" showInputMessage="1" showErrorMessage="1" sqref="A7:A37">
      <formula1>Partners</formula1>
    </dataValidation>
    <dataValidation type="list" allowBlank="1" showInputMessage="1" showErrorMessage="1" sqref="K7:K37">
      <formula1>dCountries</formula1>
    </dataValidation>
    <dataValidation type="custom" allowBlank="1" showInputMessage="1" showErrorMessage="1" error="It is not possible greater than for participants." sqref="I7:I37">
      <formula1>I7&lt;=F7</formula1>
    </dataValidation>
    <dataValidation type="custom" showInputMessage="1" showErrorMessage="1" sqref="H7:H37">
      <formula1>LEFT($D7,18)="Short-term blended"</formula1>
    </dataValidation>
    <dataValidation type="custom" showInputMessage="1" showErrorMessage="1" sqref="Q7:Q37">
      <formula1>LEFT($D7,4)="Long"</formula1>
    </dataValidation>
  </dataValidations>
  <printOptions horizontalCentered="1"/>
  <pageMargins left="0.27559055118110237" right="0.27559055118110237" top="0.6635416666666667" bottom="0.6692913385826772" header="0.34270833333333334" footer="0.51181102362204722"/>
  <pageSetup paperSize="9" scale="70" orientation="landscape" r:id="rId1"/>
  <headerFooter scaleWithDoc="0">
    <oddHeader>&amp;C&amp;11 2016. E+ KA204&amp;RVersion: 2016.01.17. - TKA</oddHeader>
    <oddFooter>&amp;C&amp;"Arial,Félkövér"&amp;A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X37"/>
  <sheetViews>
    <sheetView zoomScaleNormal="100" workbookViewId="0">
      <selection activeCell="A7" sqref="A7"/>
    </sheetView>
  </sheetViews>
  <sheetFormatPr defaultColWidth="8.85546875" defaultRowHeight="12.75"/>
  <cols>
    <col min="1" max="1" width="6.42578125" style="97" customWidth="1"/>
    <col min="2" max="2" width="12.7109375" style="98" bestFit="1" customWidth="1"/>
    <col min="3" max="3" width="6.85546875" style="77" bestFit="1" customWidth="1"/>
    <col min="4" max="4" width="37.42578125" style="99" bestFit="1" customWidth="1"/>
    <col min="5" max="5" width="10.42578125" style="77" bestFit="1" customWidth="1"/>
    <col min="6" max="6" width="5.28515625" style="77" customWidth="1"/>
    <col min="7" max="7" width="5" style="77" bestFit="1" customWidth="1"/>
    <col min="8" max="8" width="10.42578125" style="77" customWidth="1"/>
    <col min="9" max="9" width="5.28515625" style="77" customWidth="1"/>
    <col min="10" max="10" width="5" style="77" bestFit="1" customWidth="1"/>
    <col min="11" max="11" width="11.7109375" style="93" customWidth="1"/>
    <col min="12" max="12" width="17.28515625" style="100" bestFit="1" customWidth="1"/>
    <col min="13" max="13" width="10" style="78" bestFit="1" customWidth="1"/>
    <col min="14" max="15" width="10.7109375" style="78" customWidth="1"/>
    <col min="16" max="16" width="10.42578125" style="78" bestFit="1" customWidth="1"/>
    <col min="17" max="17" width="10.140625" style="78" bestFit="1" customWidth="1"/>
    <col min="18" max="18" width="9.140625" style="78" bestFit="1" customWidth="1"/>
    <col min="19" max="19" width="11.42578125" style="78" bestFit="1" customWidth="1"/>
    <col min="20" max="16384" width="8.85546875" style="93"/>
  </cols>
  <sheetData>
    <row r="1" spans="1:258" s="91" customFormat="1" ht="15.75" customHeight="1">
      <c r="A1" s="235" t="s">
        <v>434</v>
      </c>
      <c r="B1" s="236"/>
      <c r="C1" s="220"/>
      <c r="D1" s="237"/>
      <c r="E1" s="220"/>
      <c r="F1" s="535" t="s">
        <v>478</v>
      </c>
      <c r="G1" s="536"/>
      <c r="H1" s="536"/>
      <c r="I1" s="537"/>
      <c r="K1" s="514" t="s">
        <v>445</v>
      </c>
      <c r="L1" s="515"/>
      <c r="M1" s="515"/>
      <c r="N1" s="515"/>
      <c r="O1" s="515"/>
      <c r="P1" s="515"/>
      <c r="Q1" s="516"/>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c r="IW1" s="93"/>
      <c r="IX1" s="93"/>
    </row>
    <row r="2" spans="1:258" s="91" customFormat="1" ht="16.5" thickBot="1">
      <c r="A2" s="238" t="s">
        <v>0</v>
      </c>
      <c r="B2" s="239"/>
      <c r="D2" s="527" t="s">
        <v>482</v>
      </c>
      <c r="E2" s="527"/>
      <c r="F2" s="538"/>
      <c r="G2" s="539"/>
      <c r="H2" s="539"/>
      <c r="I2" s="540"/>
      <c r="K2" s="511" t="s">
        <v>446</v>
      </c>
      <c r="L2" s="512"/>
      <c r="M2" s="512"/>
      <c r="N2" s="512"/>
      <c r="O2" s="512"/>
      <c r="P2" s="512"/>
      <c r="Q2" s="51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row>
    <row r="3" spans="1:258" s="92" customFormat="1" ht="13.5" thickBot="1">
      <c r="A3" s="240" t="s">
        <v>1</v>
      </c>
      <c r="B3" s="241"/>
      <c r="C3" s="229"/>
      <c r="D3" s="242"/>
      <c r="E3" s="229"/>
      <c r="F3" s="229"/>
      <c r="G3" s="229"/>
      <c r="H3" s="229"/>
      <c r="I3" s="229"/>
      <c r="J3" s="229"/>
      <c r="K3" s="243"/>
      <c r="L3" s="244"/>
      <c r="M3" s="230"/>
      <c r="N3" s="230"/>
      <c r="O3" s="230"/>
      <c r="P3" s="230"/>
      <c r="Q3" s="230"/>
      <c r="R3" s="230"/>
      <c r="S3" s="230"/>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row>
    <row r="4" spans="1:258" s="92" customFormat="1" ht="12.75" customHeight="1">
      <c r="A4" s="481" t="s">
        <v>319</v>
      </c>
      <c r="B4" s="483" t="s">
        <v>32</v>
      </c>
      <c r="C4" s="487" t="s">
        <v>337</v>
      </c>
      <c r="D4" s="517" t="s">
        <v>154</v>
      </c>
      <c r="E4" s="487" t="s">
        <v>422</v>
      </c>
      <c r="F4" s="519" t="s">
        <v>451</v>
      </c>
      <c r="G4" s="520"/>
      <c r="H4" s="487" t="s">
        <v>421</v>
      </c>
      <c r="I4" s="523" t="s">
        <v>452</v>
      </c>
      <c r="J4" s="524"/>
      <c r="K4" s="519" t="s">
        <v>35</v>
      </c>
      <c r="L4" s="528" t="s">
        <v>130</v>
      </c>
      <c r="M4" s="530" t="s">
        <v>156</v>
      </c>
      <c r="N4" s="532" t="s">
        <v>343</v>
      </c>
      <c r="O4" s="533"/>
      <c r="P4" s="534"/>
      <c r="Q4" s="509" t="s">
        <v>341</v>
      </c>
      <c r="R4" s="510"/>
      <c r="S4" s="489" t="s">
        <v>142</v>
      </c>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row>
    <row r="5" spans="1:258" s="123" customFormat="1" ht="26.25" thickBot="1">
      <c r="A5" s="482"/>
      <c r="B5" s="484"/>
      <c r="C5" s="488"/>
      <c r="D5" s="518"/>
      <c r="E5" s="488"/>
      <c r="F5" s="521"/>
      <c r="G5" s="522"/>
      <c r="H5" s="488"/>
      <c r="I5" s="525"/>
      <c r="J5" s="526"/>
      <c r="K5" s="521"/>
      <c r="L5" s="529"/>
      <c r="M5" s="531"/>
      <c r="N5" s="245" t="s">
        <v>344</v>
      </c>
      <c r="O5" s="246" t="s">
        <v>423</v>
      </c>
      <c r="P5" s="247" t="s">
        <v>342</v>
      </c>
      <c r="Q5" s="336" t="s">
        <v>155</v>
      </c>
      <c r="R5" s="247" t="s">
        <v>342</v>
      </c>
      <c r="S5" s="490"/>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c r="IV5" s="93"/>
      <c r="IW5" s="93"/>
      <c r="IX5" s="93"/>
    </row>
    <row r="6" spans="1:258" ht="13.5" thickBot="1">
      <c r="A6" s="248"/>
      <c r="B6" s="249"/>
      <c r="C6" s="250"/>
      <c r="D6" s="251"/>
      <c r="E6" s="250"/>
      <c r="F6" s="250"/>
      <c r="G6" s="250"/>
      <c r="H6" s="250"/>
      <c r="I6" s="250"/>
      <c r="J6" s="250"/>
      <c r="K6" s="251"/>
      <c r="L6" s="252" t="s">
        <v>334</v>
      </c>
      <c r="M6" s="276">
        <f>SUM(M7:M37)</f>
        <v>0</v>
      </c>
      <c r="N6" s="277"/>
      <c r="O6" s="278"/>
      <c r="P6" s="276">
        <f>SUM(P7:P37)</f>
        <v>0</v>
      </c>
      <c r="Q6" s="277"/>
      <c r="R6" s="276">
        <f>SUM(R7:R37)</f>
        <v>0</v>
      </c>
      <c r="S6" s="118">
        <f>SUM(S7:S37)</f>
        <v>0</v>
      </c>
    </row>
    <row r="7" spans="1:258" ht="15.75" customHeight="1">
      <c r="A7" s="49"/>
      <c r="B7" s="94" t="str">
        <f>IF(ISBLANK(A7),"",VLOOKUP(A7,Management!$A$6:$C$20,2,0))</f>
        <v/>
      </c>
      <c r="C7" s="79"/>
      <c r="D7" s="101"/>
      <c r="E7" s="79"/>
      <c r="F7" s="333"/>
      <c r="G7" s="181" t="str">
        <f>IF(ISBLANK($D7),"","days")</f>
        <v/>
      </c>
      <c r="H7" s="172"/>
      <c r="I7" s="333"/>
      <c r="J7" s="181" t="str">
        <f>IF(ISBLANK($D7),"","days")</f>
        <v/>
      </c>
      <c r="K7" s="124"/>
      <c r="L7" s="127"/>
      <c r="M7" s="279" t="str">
        <f>IF(ISBLANK(L7),"",SUM(E7,H7)*VLOOKUP(L7,Ceilings!$X$4:$Y$5,2,0))</f>
        <v/>
      </c>
      <c r="N7" s="280" t="str">
        <f>IF(OR(ISBLANK($D7),ISBLANK($K7)),"",IF(LEFT($D7,18)="Short-term blended",IF($F7&lt;15,Ceilings!$S$6*$F7,Ceilings!$S$6*14+Ceilings!$S$7*($F7-14)),IF(LEFT($D7,18)="Short-term joint s",IF($F7&lt;15,Ceilings!$S$3*$F7,Ceilings!$S$3*14+Ceilings!$S$4*($F7-14)),VLOOKUP($K7,Subsistence,2,0)*14+VLOOKUP($K7,Subsistence,3,0)*46+IF($F7&gt;60,VLOOKUP($K7,Subsistence,4,0)*($F7-60),0))))</f>
        <v/>
      </c>
      <c r="O7" s="281" t="str">
        <f>IF(OR(ISBLANK(D7),ISBLANK(H7),ISBLANK(K7)),"",IF(I7&lt;15,Ceilings!$S$3*I7,Ceilings!$S$3*14+Ceilings!$S$4*(I7-14)))</f>
        <v/>
      </c>
      <c r="P7" s="279" t="str">
        <f>IF(N7="","",$E7*N7+IF(O7="",0,$H7*O7))</f>
        <v/>
      </c>
      <c r="Q7" s="172"/>
      <c r="R7" s="279" t="str">
        <f>IF(OR(ISBLANK($D7),ISBLANK($K7),ISBLANK(Q7)),"",Ceilings!$V$3*Q7)</f>
        <v/>
      </c>
      <c r="S7" s="270" t="str">
        <f>IF(ISBLANK($A7),"",IF(OR(ISBLANK($C7),ISBLANK($D7),ISBLANK($E7),ISBLANK($K7)),"Missing data",IF($B7=$K7,"Same country",SUM($M7,$P7,$R7))))</f>
        <v/>
      </c>
    </row>
    <row r="8" spans="1:258" ht="15.75" customHeight="1">
      <c r="A8" s="52"/>
      <c r="B8" s="95" t="str">
        <f>IF(ISBLANK(A8),"",VLOOKUP(A8,Management!$A$6:$C$20,2,0))</f>
        <v/>
      </c>
      <c r="C8" s="81"/>
      <c r="D8" s="102"/>
      <c r="E8" s="81"/>
      <c r="F8" s="334"/>
      <c r="G8" s="182" t="str">
        <f t="shared" ref="G8:G37" si="0">IF(ISBLANK($D8),"","days")</f>
        <v/>
      </c>
      <c r="H8" s="173"/>
      <c r="I8" s="334"/>
      <c r="J8" s="182" t="str">
        <f t="shared" ref="J8:J37" si="1">IF(ISBLANK($D8),"","days")</f>
        <v/>
      </c>
      <c r="K8" s="125"/>
      <c r="L8" s="128"/>
      <c r="M8" s="282" t="str">
        <f>IF(ISBLANK(L8),"",SUM(E8,H8)*VLOOKUP(L8,Ceilings!$X$4:$Y$5,2,0))</f>
        <v/>
      </c>
      <c r="N8" s="283" t="str">
        <f>IF(OR(ISBLANK($D8),ISBLANK($K8)),"",IF(LEFT($D8,18)="Short-term blended",IF($F8&lt;15,Ceilings!$S$6*$F8,Ceilings!$S$6*14+Ceilings!$S$7*($F8-14)),IF(LEFT($D8,18)="Short-term joint s",IF($F8&lt;15,Ceilings!$S$3*$F8,Ceilings!$S$3*14+Ceilings!$S$4*($F8-14)),VLOOKUP($K8,Subsistence,2,0)*14+VLOOKUP($K8,Subsistence,3,0)*46+IF($F8&gt;60,VLOOKUP($K8,Subsistence,4,0)*($F8-60),0))))</f>
        <v/>
      </c>
      <c r="O8" s="284" t="str">
        <f>IF(OR(ISBLANK(D8),ISBLANK(H8),ISBLANK(K8)),"",IF(I8&lt;15,Ceilings!$S$3*I8,Ceilings!$S$3*14+Ceilings!$S$4*(I8-14)))</f>
        <v/>
      </c>
      <c r="P8" s="282" t="str">
        <f t="shared" ref="P8:P37" si="2">IF(N8="","",$E8*N8+IF(O8="",0,$H8*O8))</f>
        <v/>
      </c>
      <c r="Q8" s="173"/>
      <c r="R8" s="282" t="str">
        <f>IF(OR(ISBLANK($D8),ISBLANK($K8),ISBLANK(Q8)),"",Ceilings!$V$3*Q8)</f>
        <v/>
      </c>
      <c r="S8" s="116" t="str">
        <f t="shared" ref="S8:S37" si="3">IF(ISBLANK($A8),"",IF(OR(ISBLANK($C8),ISBLANK($D8),ISBLANK($E8),ISBLANK($K8)),"Missing data",IF($B8=$K8,"Same country",SUM($M8,$P8,$R8))))</f>
        <v/>
      </c>
    </row>
    <row r="9" spans="1:258" ht="15.75" customHeight="1">
      <c r="A9" s="52"/>
      <c r="B9" s="95" t="str">
        <f>IF(ISBLANK(A9),"",VLOOKUP(A9,Management!$A$6:$C$20,2,0))</f>
        <v/>
      </c>
      <c r="C9" s="81"/>
      <c r="D9" s="102"/>
      <c r="E9" s="81"/>
      <c r="F9" s="334"/>
      <c r="G9" s="182" t="str">
        <f t="shared" si="0"/>
        <v/>
      </c>
      <c r="H9" s="173"/>
      <c r="I9" s="334"/>
      <c r="J9" s="182" t="str">
        <f t="shared" si="1"/>
        <v/>
      </c>
      <c r="K9" s="125"/>
      <c r="L9" s="128"/>
      <c r="M9" s="282" t="str">
        <f>IF(ISBLANK(L9),"",SUM(E9,H9)*VLOOKUP(L9,Ceilings!$X$4:$Y$5,2,0))</f>
        <v/>
      </c>
      <c r="N9" s="283" t="str">
        <f>IF(OR(ISBLANK($D9),ISBLANK($K9)),"",IF(LEFT($D9,18)="Short-term blended",IF($F9&lt;15,Ceilings!$S$6*$F9,Ceilings!$S$6*14+Ceilings!$S$7*($F9-14)),IF(LEFT($D9,18)="Short-term joint s",IF($F9&lt;15,Ceilings!$S$3*$F9,Ceilings!$S$3*14+Ceilings!$S$4*($F9-14)),VLOOKUP($K9,Subsistence,2,0)*14+VLOOKUP($K9,Subsistence,3,0)*46+IF($F9&gt;60,VLOOKUP($K9,Subsistence,4,0)*($F9-60),0))))</f>
        <v/>
      </c>
      <c r="O9" s="284" t="str">
        <f>IF(OR(ISBLANK(D9),ISBLANK(H9),ISBLANK(K9)),"",IF(I9&lt;15,Ceilings!$S$3*I9,Ceilings!$S$3*14+Ceilings!$S$4*(I9-14)))</f>
        <v/>
      </c>
      <c r="P9" s="282" t="str">
        <f t="shared" si="2"/>
        <v/>
      </c>
      <c r="Q9" s="173"/>
      <c r="R9" s="282" t="str">
        <f>IF(OR(ISBLANK($D9),ISBLANK($K9),ISBLANK(Q9)),"",Ceilings!$V$3*Q9)</f>
        <v/>
      </c>
      <c r="S9" s="116" t="str">
        <f t="shared" si="3"/>
        <v/>
      </c>
    </row>
    <row r="10" spans="1:258" ht="15.75" customHeight="1">
      <c r="A10" s="52"/>
      <c r="B10" s="95" t="str">
        <f>IF(ISBLANK(A10),"",VLOOKUP(A10,Management!$A$6:$C$20,2,0))</f>
        <v/>
      </c>
      <c r="C10" s="81"/>
      <c r="D10" s="102"/>
      <c r="E10" s="81"/>
      <c r="F10" s="334"/>
      <c r="G10" s="182" t="str">
        <f t="shared" si="0"/>
        <v/>
      </c>
      <c r="H10" s="173"/>
      <c r="I10" s="334"/>
      <c r="J10" s="182" t="str">
        <f t="shared" si="1"/>
        <v/>
      </c>
      <c r="K10" s="125"/>
      <c r="L10" s="128"/>
      <c r="M10" s="282" t="str">
        <f>IF(ISBLANK(L10),"",SUM(E10,H10)*VLOOKUP(L10,Ceilings!$X$4:$Y$5,2,0))</f>
        <v/>
      </c>
      <c r="N10" s="283" t="str">
        <f>IF(OR(ISBLANK($D10),ISBLANK($K10)),"",IF(LEFT($D10,18)="Short-term blended",IF($F10&lt;15,Ceilings!$S$6*$F10,Ceilings!$S$6*14+Ceilings!$S$7*($F10-14)),IF(LEFT($D10,18)="Short-term joint s",IF($F10&lt;15,Ceilings!$S$3*$F10,Ceilings!$S$3*14+Ceilings!$S$4*($F10-14)),VLOOKUP($K10,Subsistence,2,0)*14+VLOOKUP($K10,Subsistence,3,0)*46+IF($F10&gt;60,VLOOKUP($K10,Subsistence,4,0)*($F10-60),0))))</f>
        <v/>
      </c>
      <c r="O10" s="284" t="str">
        <f>IF(OR(ISBLANK(D10),ISBLANK(H10),ISBLANK(K10)),"",IF(I10&lt;15,Ceilings!$S$3*I10,Ceilings!$S$3*14+Ceilings!$S$4*(I10-14)))</f>
        <v/>
      </c>
      <c r="P10" s="282" t="str">
        <f t="shared" si="2"/>
        <v/>
      </c>
      <c r="Q10" s="173"/>
      <c r="R10" s="282" t="str">
        <f>IF(OR(ISBLANK($D10),ISBLANK($K10),ISBLANK(Q10)),"",Ceilings!$V$3*Q10)</f>
        <v/>
      </c>
      <c r="S10" s="116" t="str">
        <f t="shared" si="3"/>
        <v/>
      </c>
    </row>
    <row r="11" spans="1:258" ht="15.75" customHeight="1">
      <c r="A11" s="52"/>
      <c r="B11" s="95" t="str">
        <f>IF(ISBLANK(A11),"",VLOOKUP(A11,Management!$A$6:$C$20,2,0))</f>
        <v/>
      </c>
      <c r="C11" s="81"/>
      <c r="D11" s="102"/>
      <c r="E11" s="81"/>
      <c r="F11" s="334"/>
      <c r="G11" s="182" t="str">
        <f t="shared" si="0"/>
        <v/>
      </c>
      <c r="H11" s="173"/>
      <c r="I11" s="334"/>
      <c r="J11" s="182" t="str">
        <f t="shared" si="1"/>
        <v/>
      </c>
      <c r="K11" s="125"/>
      <c r="L11" s="128"/>
      <c r="M11" s="282" t="str">
        <f>IF(ISBLANK(L11),"",SUM(E11,H11)*VLOOKUP(L11,Ceilings!$X$4:$Y$5,2,0))</f>
        <v/>
      </c>
      <c r="N11" s="283" t="str">
        <f>IF(OR(ISBLANK($D11),ISBLANK($K11)),"",IF(LEFT($D11,18)="Short-term blended",IF($F11&lt;15,Ceilings!$S$6*$F11,Ceilings!$S$6*14+Ceilings!$S$7*($F11-14)),IF(LEFT($D11,18)="Short-term joint s",IF($F11&lt;15,Ceilings!$S$3*$F11,Ceilings!$S$3*14+Ceilings!$S$4*($F11-14)),VLOOKUP($K11,Subsistence,2,0)*14+VLOOKUP($K11,Subsistence,3,0)*46+IF($F11&gt;60,VLOOKUP($K11,Subsistence,4,0)*($F11-60),0))))</f>
        <v/>
      </c>
      <c r="O11" s="284" t="str">
        <f>IF(OR(ISBLANK(D11),ISBLANK(H11),ISBLANK(K11)),"",IF(I11&lt;15,Ceilings!$S$3*I11,Ceilings!$S$3*14+Ceilings!$S$4*(I11-14)))</f>
        <v/>
      </c>
      <c r="P11" s="282" t="str">
        <f t="shared" si="2"/>
        <v/>
      </c>
      <c r="Q11" s="173"/>
      <c r="R11" s="282" t="str">
        <f>IF(OR(ISBLANK($D11),ISBLANK($K11),ISBLANK(Q11)),"",Ceilings!$V$3*Q11)</f>
        <v/>
      </c>
      <c r="S11" s="116" t="str">
        <f t="shared" si="3"/>
        <v/>
      </c>
    </row>
    <row r="12" spans="1:258" ht="15.75" customHeight="1">
      <c r="A12" s="52"/>
      <c r="B12" s="95" t="str">
        <f>IF(ISBLANK(A12),"",VLOOKUP(A12,Management!$A$6:$C$20,2,0))</f>
        <v/>
      </c>
      <c r="C12" s="81"/>
      <c r="D12" s="102"/>
      <c r="E12" s="81"/>
      <c r="F12" s="334"/>
      <c r="G12" s="182" t="str">
        <f t="shared" si="0"/>
        <v/>
      </c>
      <c r="H12" s="173"/>
      <c r="I12" s="334"/>
      <c r="J12" s="182" t="str">
        <f t="shared" si="1"/>
        <v/>
      </c>
      <c r="K12" s="125"/>
      <c r="L12" s="128"/>
      <c r="M12" s="282" t="str">
        <f>IF(ISBLANK(L12),"",SUM(E12,H12)*VLOOKUP(L12,Ceilings!$X$4:$Y$5,2,0))</f>
        <v/>
      </c>
      <c r="N12" s="283" t="str">
        <f>IF(OR(ISBLANK($D12),ISBLANK($K12)),"",IF(LEFT($D12,18)="Short-term blended",IF($F12&lt;15,Ceilings!$S$6*$F12,Ceilings!$S$6*14+Ceilings!$S$7*($F12-14)),IF(LEFT($D12,18)="Short-term joint s",IF($F12&lt;15,Ceilings!$S$3*$F12,Ceilings!$S$3*14+Ceilings!$S$4*($F12-14)),VLOOKUP($K12,Subsistence,2,0)*14+VLOOKUP($K12,Subsistence,3,0)*46+IF($F12&gt;60,VLOOKUP($K12,Subsistence,4,0)*($F12-60),0))))</f>
        <v/>
      </c>
      <c r="O12" s="284" t="str">
        <f>IF(OR(ISBLANK(D12),ISBLANK(H12),ISBLANK(K12)),"",IF(I12&lt;15,Ceilings!$S$3*I12,Ceilings!$S$3*14+Ceilings!$S$4*(I12-14)))</f>
        <v/>
      </c>
      <c r="P12" s="282" t="str">
        <f t="shared" si="2"/>
        <v/>
      </c>
      <c r="Q12" s="173"/>
      <c r="R12" s="282" t="str">
        <f>IF(OR(ISBLANK($D12),ISBLANK($K12),ISBLANK(Q12)),"",Ceilings!$V$3*Q12)</f>
        <v/>
      </c>
      <c r="S12" s="116" t="str">
        <f t="shared" si="3"/>
        <v/>
      </c>
    </row>
    <row r="13" spans="1:258" ht="15.75" customHeight="1">
      <c r="A13" s="52"/>
      <c r="B13" s="95" t="str">
        <f>IF(ISBLANK(A13),"",VLOOKUP(A13,Management!$A$6:$C$20,2,0))</f>
        <v/>
      </c>
      <c r="C13" s="81"/>
      <c r="D13" s="102"/>
      <c r="E13" s="81"/>
      <c r="F13" s="334"/>
      <c r="G13" s="182" t="str">
        <f t="shared" si="0"/>
        <v/>
      </c>
      <c r="H13" s="173"/>
      <c r="I13" s="334"/>
      <c r="J13" s="182" t="str">
        <f t="shared" si="1"/>
        <v/>
      </c>
      <c r="K13" s="125"/>
      <c r="L13" s="128"/>
      <c r="M13" s="282" t="str">
        <f>IF(ISBLANK(L13),"",SUM(E13,H13)*VLOOKUP(L13,Ceilings!$X$4:$Y$5,2,0))</f>
        <v/>
      </c>
      <c r="N13" s="283" t="str">
        <f>IF(OR(ISBLANK($D13),ISBLANK($K13)),"",IF(LEFT($D13,18)="Short-term blended",IF($F13&lt;15,Ceilings!$S$6*$F13,Ceilings!$S$6*14+Ceilings!$S$7*($F13-14)),IF(LEFT($D13,18)="Short-term joint s",IF($F13&lt;15,Ceilings!$S$3*$F13,Ceilings!$S$3*14+Ceilings!$S$4*($F13-14)),VLOOKUP($K13,Subsistence,2,0)*14+VLOOKUP($K13,Subsistence,3,0)*46+IF($F13&gt;60,VLOOKUP($K13,Subsistence,4,0)*($F13-60),0))))</f>
        <v/>
      </c>
      <c r="O13" s="284" t="str">
        <f>IF(OR(ISBLANK(D13),ISBLANK(H13),ISBLANK(K13)),"",IF(I13&lt;15,Ceilings!$S$3*I13,Ceilings!$S$3*14+Ceilings!$S$4*(I13-14)))</f>
        <v/>
      </c>
      <c r="P13" s="282" t="str">
        <f t="shared" si="2"/>
        <v/>
      </c>
      <c r="Q13" s="173"/>
      <c r="R13" s="282" t="str">
        <f>IF(OR(ISBLANK($D13),ISBLANK($K13),ISBLANK(Q13)),"",Ceilings!$V$3*Q13)</f>
        <v/>
      </c>
      <c r="S13" s="116" t="str">
        <f t="shared" si="3"/>
        <v/>
      </c>
    </row>
    <row r="14" spans="1:258" ht="15.75" customHeight="1">
      <c r="A14" s="52"/>
      <c r="B14" s="95" t="str">
        <f>IF(ISBLANK(A14),"",VLOOKUP(A14,Management!$A$6:$C$20,2,0))</f>
        <v/>
      </c>
      <c r="C14" s="81"/>
      <c r="D14" s="102"/>
      <c r="E14" s="81"/>
      <c r="F14" s="334"/>
      <c r="G14" s="182" t="str">
        <f t="shared" si="0"/>
        <v/>
      </c>
      <c r="H14" s="173"/>
      <c r="I14" s="334"/>
      <c r="J14" s="182" t="str">
        <f t="shared" si="1"/>
        <v/>
      </c>
      <c r="K14" s="125"/>
      <c r="L14" s="128"/>
      <c r="M14" s="282" t="str">
        <f>IF(ISBLANK(L14),"",SUM(E14,H14)*VLOOKUP(L14,Ceilings!$X$4:$Y$5,2,0))</f>
        <v/>
      </c>
      <c r="N14" s="283" t="str">
        <f>IF(OR(ISBLANK($D14),ISBLANK($K14)),"",IF(LEFT($D14,18)="Short-term blended",IF($F14&lt;15,Ceilings!$S$6*$F14,Ceilings!$S$6*14+Ceilings!$S$7*($F14-14)),IF(LEFT($D14,18)="Short-term joint s",IF($F14&lt;15,Ceilings!$S$3*$F14,Ceilings!$S$3*14+Ceilings!$S$4*($F14-14)),VLOOKUP($K14,Subsistence,2,0)*14+VLOOKUP($K14,Subsistence,3,0)*46+IF($F14&gt;60,VLOOKUP($K14,Subsistence,4,0)*($F14-60),0))))</f>
        <v/>
      </c>
      <c r="O14" s="284" t="str">
        <f>IF(OR(ISBLANK(D14),ISBLANK(H14),ISBLANK(K14)),"",IF(I14&lt;15,Ceilings!$S$3*I14,Ceilings!$S$3*14+Ceilings!$S$4*(I14-14)))</f>
        <v/>
      </c>
      <c r="P14" s="282" t="str">
        <f t="shared" si="2"/>
        <v/>
      </c>
      <c r="Q14" s="173"/>
      <c r="R14" s="282" t="str">
        <f>IF(OR(ISBLANK($D14),ISBLANK($K14),ISBLANK(Q14)),"",Ceilings!$V$3*Q14)</f>
        <v/>
      </c>
      <c r="S14" s="116" t="str">
        <f t="shared" si="3"/>
        <v/>
      </c>
    </row>
    <row r="15" spans="1:258" ht="15.75" customHeight="1">
      <c r="A15" s="52"/>
      <c r="B15" s="95" t="str">
        <f>IF(ISBLANK(A15),"",VLOOKUP(A15,Management!$A$6:$C$20,2,0))</f>
        <v/>
      </c>
      <c r="C15" s="81"/>
      <c r="D15" s="102"/>
      <c r="E15" s="81"/>
      <c r="F15" s="334"/>
      <c r="G15" s="182" t="str">
        <f t="shared" si="0"/>
        <v/>
      </c>
      <c r="H15" s="173"/>
      <c r="I15" s="334"/>
      <c r="J15" s="182" t="str">
        <f t="shared" si="1"/>
        <v/>
      </c>
      <c r="K15" s="125"/>
      <c r="L15" s="128"/>
      <c r="M15" s="282" t="str">
        <f>IF(ISBLANK(L15),"",SUM(E15,H15)*VLOOKUP(L15,Ceilings!$X$4:$Y$5,2,0))</f>
        <v/>
      </c>
      <c r="N15" s="283" t="str">
        <f>IF(OR(ISBLANK($D15),ISBLANK($K15)),"",IF(LEFT($D15,18)="Short-term blended",IF($F15&lt;15,Ceilings!$S$6*$F15,Ceilings!$S$6*14+Ceilings!$S$7*($F15-14)),IF(LEFT($D15,18)="Short-term joint s",IF($F15&lt;15,Ceilings!$S$3*$F15,Ceilings!$S$3*14+Ceilings!$S$4*($F15-14)),VLOOKUP($K15,Subsistence,2,0)*14+VLOOKUP($K15,Subsistence,3,0)*46+IF($F15&gt;60,VLOOKUP($K15,Subsistence,4,0)*($F15-60),0))))</f>
        <v/>
      </c>
      <c r="O15" s="284" t="str">
        <f>IF(OR(ISBLANK(D15),ISBLANK(H15),ISBLANK(K15)),"",IF(I15&lt;15,Ceilings!$S$3*I15,Ceilings!$S$3*14+Ceilings!$S$4*(I15-14)))</f>
        <v/>
      </c>
      <c r="P15" s="282" t="str">
        <f t="shared" si="2"/>
        <v/>
      </c>
      <c r="Q15" s="173"/>
      <c r="R15" s="282" t="str">
        <f>IF(OR(ISBLANK($D15),ISBLANK($K15),ISBLANK(Q15)),"",Ceilings!$V$3*Q15)</f>
        <v/>
      </c>
      <c r="S15" s="116" t="str">
        <f t="shared" si="3"/>
        <v/>
      </c>
    </row>
    <row r="16" spans="1:258" ht="15.75" customHeight="1">
      <c r="A16" s="52"/>
      <c r="B16" s="95" t="str">
        <f>IF(ISBLANK(A16),"",VLOOKUP(A16,Management!$A$6:$C$20,2,0))</f>
        <v/>
      </c>
      <c r="C16" s="81"/>
      <c r="D16" s="102"/>
      <c r="E16" s="81"/>
      <c r="F16" s="334"/>
      <c r="G16" s="182" t="str">
        <f t="shared" si="0"/>
        <v/>
      </c>
      <c r="H16" s="173"/>
      <c r="I16" s="334"/>
      <c r="J16" s="182" t="str">
        <f t="shared" si="1"/>
        <v/>
      </c>
      <c r="K16" s="125"/>
      <c r="L16" s="128"/>
      <c r="M16" s="282" t="str">
        <f>IF(ISBLANK(L16),"",SUM(E16,H16)*VLOOKUP(L16,Ceilings!$X$4:$Y$5,2,0))</f>
        <v/>
      </c>
      <c r="N16" s="283" t="str">
        <f>IF(OR(ISBLANK($D16),ISBLANK($K16)),"",IF(LEFT($D16,18)="Short-term blended",IF($F16&lt;15,Ceilings!$S$6*$F16,Ceilings!$S$6*14+Ceilings!$S$7*($F16-14)),IF(LEFT($D16,18)="Short-term joint s",IF($F16&lt;15,Ceilings!$S$3*$F16,Ceilings!$S$3*14+Ceilings!$S$4*($F16-14)),VLOOKUP($K16,Subsistence,2,0)*14+VLOOKUP($K16,Subsistence,3,0)*46+IF($F16&gt;60,VLOOKUP($K16,Subsistence,4,0)*($F16-60),0))))</f>
        <v/>
      </c>
      <c r="O16" s="284" t="str">
        <f>IF(OR(ISBLANK(D16),ISBLANK(H16),ISBLANK(K16)),"",IF(I16&lt;15,Ceilings!$S$3*I16,Ceilings!$S$3*14+Ceilings!$S$4*(I16-14)))</f>
        <v/>
      </c>
      <c r="P16" s="282" t="str">
        <f t="shared" si="2"/>
        <v/>
      </c>
      <c r="Q16" s="173"/>
      <c r="R16" s="282" t="str">
        <f>IF(OR(ISBLANK($D16),ISBLANK($K16),ISBLANK(Q16)),"",Ceilings!$V$3*Q16)</f>
        <v/>
      </c>
      <c r="S16" s="116" t="str">
        <f t="shared" si="3"/>
        <v/>
      </c>
    </row>
    <row r="17" spans="1:19" ht="15.75" customHeight="1">
      <c r="A17" s="52"/>
      <c r="B17" s="95" t="str">
        <f>IF(ISBLANK(A17),"",VLOOKUP(A17,Management!$A$6:$C$20,2,0))</f>
        <v/>
      </c>
      <c r="C17" s="81"/>
      <c r="D17" s="102"/>
      <c r="E17" s="81"/>
      <c r="F17" s="334"/>
      <c r="G17" s="182" t="str">
        <f t="shared" si="0"/>
        <v/>
      </c>
      <c r="H17" s="173"/>
      <c r="I17" s="334"/>
      <c r="J17" s="182" t="str">
        <f t="shared" si="1"/>
        <v/>
      </c>
      <c r="K17" s="125"/>
      <c r="L17" s="128"/>
      <c r="M17" s="282" t="str">
        <f>IF(ISBLANK(L17),"",SUM(E17,H17)*VLOOKUP(L17,Ceilings!$X$4:$Y$5,2,0))</f>
        <v/>
      </c>
      <c r="N17" s="283" t="str">
        <f>IF(OR(ISBLANK($D17),ISBLANK($K17)),"",IF(LEFT($D17,18)="Short-term blended",IF($F17&lt;15,Ceilings!$S$6*$F17,Ceilings!$S$6*14+Ceilings!$S$7*($F17-14)),IF(LEFT($D17,18)="Short-term joint s",IF($F17&lt;15,Ceilings!$S$3*$F17,Ceilings!$S$3*14+Ceilings!$S$4*($F17-14)),VLOOKUP($K17,Subsistence,2,0)*14+VLOOKUP($K17,Subsistence,3,0)*46+IF($F17&gt;60,VLOOKUP($K17,Subsistence,4,0)*($F17-60),0))))</f>
        <v/>
      </c>
      <c r="O17" s="284" t="str">
        <f>IF(OR(ISBLANK(D17),ISBLANK(H17),ISBLANK(K17)),"",IF(I17&lt;15,Ceilings!$S$3*I17,Ceilings!$S$3*14+Ceilings!$S$4*(I17-14)))</f>
        <v/>
      </c>
      <c r="P17" s="282" t="str">
        <f t="shared" si="2"/>
        <v/>
      </c>
      <c r="Q17" s="173"/>
      <c r="R17" s="282" t="str">
        <f>IF(OR(ISBLANK($D17),ISBLANK($K17),ISBLANK(Q17)),"",Ceilings!$V$3*Q17)</f>
        <v/>
      </c>
      <c r="S17" s="116" t="str">
        <f t="shared" si="3"/>
        <v/>
      </c>
    </row>
    <row r="18" spans="1:19" ht="15.75" customHeight="1">
      <c r="A18" s="52"/>
      <c r="B18" s="95" t="str">
        <f>IF(ISBLANK(A18),"",VLOOKUP(A18,Management!$A$6:$C$20,2,0))</f>
        <v/>
      </c>
      <c r="C18" s="81"/>
      <c r="D18" s="102"/>
      <c r="E18" s="81"/>
      <c r="F18" s="334"/>
      <c r="G18" s="182" t="str">
        <f t="shared" si="0"/>
        <v/>
      </c>
      <c r="H18" s="173"/>
      <c r="I18" s="334"/>
      <c r="J18" s="182" t="str">
        <f t="shared" si="1"/>
        <v/>
      </c>
      <c r="K18" s="125"/>
      <c r="L18" s="128"/>
      <c r="M18" s="282" t="str">
        <f>IF(ISBLANK(L18),"",SUM(E18,H18)*VLOOKUP(L18,Ceilings!$X$4:$Y$5,2,0))</f>
        <v/>
      </c>
      <c r="N18" s="283" t="str">
        <f>IF(OR(ISBLANK($D18),ISBLANK($K18)),"",IF(LEFT($D18,18)="Short-term blended",IF($F18&lt;15,Ceilings!$S$6*$F18,Ceilings!$S$6*14+Ceilings!$S$7*($F18-14)),IF(LEFT($D18,18)="Short-term joint s",IF($F18&lt;15,Ceilings!$S$3*$F18,Ceilings!$S$3*14+Ceilings!$S$4*($F18-14)),VLOOKUP($K18,Subsistence,2,0)*14+VLOOKUP($K18,Subsistence,3,0)*46+IF($F18&gt;60,VLOOKUP($K18,Subsistence,4,0)*($F18-60),0))))</f>
        <v/>
      </c>
      <c r="O18" s="284" t="str">
        <f>IF(OR(ISBLANK(D18),ISBLANK(H18),ISBLANK(K18)),"",IF(I18&lt;15,Ceilings!$S$3*I18,Ceilings!$S$3*14+Ceilings!$S$4*(I18-14)))</f>
        <v/>
      </c>
      <c r="P18" s="282" t="str">
        <f t="shared" si="2"/>
        <v/>
      </c>
      <c r="Q18" s="173"/>
      <c r="R18" s="282" t="str">
        <f>IF(OR(ISBLANK($D18),ISBLANK($K18),ISBLANK(Q18)),"",Ceilings!$V$3*Q18)</f>
        <v/>
      </c>
      <c r="S18" s="116" t="str">
        <f t="shared" si="3"/>
        <v/>
      </c>
    </row>
    <row r="19" spans="1:19" ht="15.75" customHeight="1">
      <c r="A19" s="52"/>
      <c r="B19" s="95" t="str">
        <f>IF(ISBLANK(A19),"",VLOOKUP(A19,Management!$A$6:$C$20,2,0))</f>
        <v/>
      </c>
      <c r="C19" s="81"/>
      <c r="D19" s="102"/>
      <c r="E19" s="81"/>
      <c r="F19" s="334"/>
      <c r="G19" s="182" t="str">
        <f t="shared" si="0"/>
        <v/>
      </c>
      <c r="H19" s="173"/>
      <c r="I19" s="334"/>
      <c r="J19" s="182" t="str">
        <f t="shared" si="1"/>
        <v/>
      </c>
      <c r="K19" s="125"/>
      <c r="L19" s="128"/>
      <c r="M19" s="282" t="str">
        <f>IF(ISBLANK(L19),"",SUM(E19,H19)*VLOOKUP(L19,Ceilings!$X$4:$Y$5,2,0))</f>
        <v/>
      </c>
      <c r="N19" s="283" t="str">
        <f>IF(OR(ISBLANK($D19),ISBLANK($K19)),"",IF(LEFT($D19,18)="Short-term blended",IF($F19&lt;15,Ceilings!$S$6*$F19,Ceilings!$S$6*14+Ceilings!$S$7*($F19-14)),IF(LEFT($D19,18)="Short-term joint s",IF($F19&lt;15,Ceilings!$S$3*$F19,Ceilings!$S$3*14+Ceilings!$S$4*($F19-14)),VLOOKUP($K19,Subsistence,2,0)*14+VLOOKUP($K19,Subsistence,3,0)*46+IF($F19&gt;60,VLOOKUP($K19,Subsistence,4,0)*($F19-60),0))))</f>
        <v/>
      </c>
      <c r="O19" s="284" t="str">
        <f>IF(OR(ISBLANK(D19),ISBLANK(H19),ISBLANK(K19)),"",IF(I19&lt;15,Ceilings!$S$3*I19,Ceilings!$S$3*14+Ceilings!$S$4*(I19-14)))</f>
        <v/>
      </c>
      <c r="P19" s="282" t="str">
        <f t="shared" si="2"/>
        <v/>
      </c>
      <c r="Q19" s="173"/>
      <c r="R19" s="282" t="str">
        <f>IF(OR(ISBLANK($D19),ISBLANK($K19),ISBLANK(Q19)),"",Ceilings!$V$3*Q19)</f>
        <v/>
      </c>
      <c r="S19" s="116" t="str">
        <f t="shared" si="3"/>
        <v/>
      </c>
    </row>
    <row r="20" spans="1:19" ht="15.75" customHeight="1">
      <c r="A20" s="52"/>
      <c r="B20" s="95" t="str">
        <f>IF(ISBLANK(A20),"",VLOOKUP(A20,Management!$A$6:$C$20,2,0))</f>
        <v/>
      </c>
      <c r="C20" s="81"/>
      <c r="D20" s="102"/>
      <c r="E20" s="81"/>
      <c r="F20" s="334"/>
      <c r="G20" s="182" t="str">
        <f t="shared" si="0"/>
        <v/>
      </c>
      <c r="H20" s="173"/>
      <c r="I20" s="334"/>
      <c r="J20" s="182" t="str">
        <f t="shared" si="1"/>
        <v/>
      </c>
      <c r="K20" s="125"/>
      <c r="L20" s="128"/>
      <c r="M20" s="282" t="str">
        <f>IF(ISBLANK(L20),"",SUM(E20,H20)*VLOOKUP(L20,Ceilings!$X$4:$Y$5,2,0))</f>
        <v/>
      </c>
      <c r="N20" s="283" t="str">
        <f>IF(OR(ISBLANK($D20),ISBLANK($K20)),"",IF(LEFT($D20,18)="Short-term blended",IF($F20&lt;15,Ceilings!$S$6*$F20,Ceilings!$S$6*14+Ceilings!$S$7*($F20-14)),IF(LEFT($D20,18)="Short-term joint s",IF($F20&lt;15,Ceilings!$S$3*$F20,Ceilings!$S$3*14+Ceilings!$S$4*($F20-14)),VLOOKUP($K20,Subsistence,2,0)*14+VLOOKUP($K20,Subsistence,3,0)*46+IF($F20&gt;60,VLOOKUP($K20,Subsistence,4,0)*($F20-60),0))))</f>
        <v/>
      </c>
      <c r="O20" s="284" t="str">
        <f>IF(OR(ISBLANK(D20),ISBLANK(H20),ISBLANK(K20)),"",IF(I20&lt;15,Ceilings!$S$3*I20,Ceilings!$S$3*14+Ceilings!$S$4*(I20-14)))</f>
        <v/>
      </c>
      <c r="P20" s="282" t="str">
        <f t="shared" si="2"/>
        <v/>
      </c>
      <c r="Q20" s="173"/>
      <c r="R20" s="282" t="str">
        <f>IF(OR(ISBLANK($D20),ISBLANK($K20),ISBLANK(Q20)),"",Ceilings!$V$3*Q20)</f>
        <v/>
      </c>
      <c r="S20" s="116" t="str">
        <f t="shared" si="3"/>
        <v/>
      </c>
    </row>
    <row r="21" spans="1:19" ht="15.75" customHeight="1">
      <c r="A21" s="52"/>
      <c r="B21" s="95" t="str">
        <f>IF(ISBLANK(A21),"",VLOOKUP(A21,Management!$A$6:$C$20,2,0))</f>
        <v/>
      </c>
      <c r="C21" s="81"/>
      <c r="D21" s="102"/>
      <c r="E21" s="81"/>
      <c r="F21" s="334"/>
      <c r="G21" s="182" t="str">
        <f t="shared" si="0"/>
        <v/>
      </c>
      <c r="H21" s="173"/>
      <c r="I21" s="334"/>
      <c r="J21" s="182" t="str">
        <f t="shared" si="1"/>
        <v/>
      </c>
      <c r="K21" s="125"/>
      <c r="L21" s="128"/>
      <c r="M21" s="282" t="str">
        <f>IF(ISBLANK(L21),"",SUM(E21,H21)*VLOOKUP(L21,Ceilings!$X$4:$Y$5,2,0))</f>
        <v/>
      </c>
      <c r="N21" s="283" t="str">
        <f>IF(OR(ISBLANK($D21),ISBLANK($K21)),"",IF(LEFT($D21,18)="Short-term blended",IF($F21&lt;15,Ceilings!$S$6*$F21,Ceilings!$S$6*14+Ceilings!$S$7*($F21-14)),IF(LEFT($D21,18)="Short-term joint s",IF($F21&lt;15,Ceilings!$S$3*$F21,Ceilings!$S$3*14+Ceilings!$S$4*($F21-14)),VLOOKUP($K21,Subsistence,2,0)*14+VLOOKUP($K21,Subsistence,3,0)*46+IF($F21&gt;60,VLOOKUP($K21,Subsistence,4,0)*($F21-60),0))))</f>
        <v/>
      </c>
      <c r="O21" s="284" t="str">
        <f>IF(OR(ISBLANK(D21),ISBLANK(H21),ISBLANK(K21)),"",IF(I21&lt;15,Ceilings!$S$3*I21,Ceilings!$S$3*14+Ceilings!$S$4*(I21-14)))</f>
        <v/>
      </c>
      <c r="P21" s="282" t="str">
        <f t="shared" si="2"/>
        <v/>
      </c>
      <c r="Q21" s="173"/>
      <c r="R21" s="282" t="str">
        <f>IF(OR(ISBLANK($D21),ISBLANK($K21),ISBLANK(Q21)),"",Ceilings!$V$3*Q21)</f>
        <v/>
      </c>
      <c r="S21" s="116" t="str">
        <f t="shared" si="3"/>
        <v/>
      </c>
    </row>
    <row r="22" spans="1:19" ht="15.75" customHeight="1">
      <c r="A22" s="52"/>
      <c r="B22" s="95" t="str">
        <f>IF(ISBLANK(A22),"",VLOOKUP(A22,Management!$A$6:$C$20,2,0))</f>
        <v/>
      </c>
      <c r="C22" s="81"/>
      <c r="D22" s="102"/>
      <c r="E22" s="81"/>
      <c r="F22" s="334"/>
      <c r="G22" s="182" t="str">
        <f t="shared" si="0"/>
        <v/>
      </c>
      <c r="H22" s="173"/>
      <c r="I22" s="334"/>
      <c r="J22" s="182" t="str">
        <f t="shared" si="1"/>
        <v/>
      </c>
      <c r="K22" s="125"/>
      <c r="L22" s="128"/>
      <c r="M22" s="282" t="str">
        <f>IF(ISBLANK(L22),"",SUM(E22,H22)*VLOOKUP(L22,Ceilings!$X$4:$Y$5,2,0))</f>
        <v/>
      </c>
      <c r="N22" s="283" t="str">
        <f>IF(OR(ISBLANK($D22),ISBLANK($K22)),"",IF(LEFT($D22,18)="Short-term blended",IF($F22&lt;15,Ceilings!$S$6*$F22,Ceilings!$S$6*14+Ceilings!$S$7*($F22-14)),IF(LEFT($D22,18)="Short-term joint s",IF($F22&lt;15,Ceilings!$S$3*$F22,Ceilings!$S$3*14+Ceilings!$S$4*($F22-14)),VLOOKUP($K22,Subsistence,2,0)*14+VLOOKUP($K22,Subsistence,3,0)*46+IF($F22&gt;60,VLOOKUP($K22,Subsistence,4,0)*($F22-60),0))))</f>
        <v/>
      </c>
      <c r="O22" s="284" t="str">
        <f>IF(OR(ISBLANK(D22),ISBLANK(H22),ISBLANK(K22)),"",IF(I22&lt;15,Ceilings!$S$3*I22,Ceilings!$S$3*14+Ceilings!$S$4*(I22-14)))</f>
        <v/>
      </c>
      <c r="P22" s="282" t="str">
        <f t="shared" si="2"/>
        <v/>
      </c>
      <c r="Q22" s="173"/>
      <c r="R22" s="282" t="str">
        <f>IF(OR(ISBLANK($D22),ISBLANK($K22),ISBLANK(Q22)),"",Ceilings!$V$3*Q22)</f>
        <v/>
      </c>
      <c r="S22" s="116" t="str">
        <f t="shared" si="3"/>
        <v/>
      </c>
    </row>
    <row r="23" spans="1:19" ht="15.75" customHeight="1">
      <c r="A23" s="52"/>
      <c r="B23" s="95" t="str">
        <f>IF(ISBLANK(A23),"",VLOOKUP(A23,Management!$A$6:$C$20,2,0))</f>
        <v/>
      </c>
      <c r="C23" s="81"/>
      <c r="D23" s="102"/>
      <c r="E23" s="81"/>
      <c r="F23" s="334"/>
      <c r="G23" s="182" t="str">
        <f t="shared" si="0"/>
        <v/>
      </c>
      <c r="H23" s="173"/>
      <c r="I23" s="334"/>
      <c r="J23" s="182" t="str">
        <f t="shared" si="1"/>
        <v/>
      </c>
      <c r="K23" s="125"/>
      <c r="L23" s="128"/>
      <c r="M23" s="282" t="str">
        <f>IF(ISBLANK(L23),"",SUM(E23,H23)*VLOOKUP(L23,Ceilings!$X$4:$Y$5,2,0))</f>
        <v/>
      </c>
      <c r="N23" s="283" t="str">
        <f>IF(OR(ISBLANK($D23),ISBLANK($K23)),"",IF(LEFT($D23,18)="Short-term blended",IF($F23&lt;15,Ceilings!$S$6*$F23,Ceilings!$S$6*14+Ceilings!$S$7*($F23-14)),IF(LEFT($D23,18)="Short-term joint s",IF($F23&lt;15,Ceilings!$S$3*$F23,Ceilings!$S$3*14+Ceilings!$S$4*($F23-14)),VLOOKUP($K23,Subsistence,2,0)*14+VLOOKUP($K23,Subsistence,3,0)*46+IF($F23&gt;60,VLOOKUP($K23,Subsistence,4,0)*($F23-60),0))))</f>
        <v/>
      </c>
      <c r="O23" s="284" t="str">
        <f>IF(OR(ISBLANK(D23),ISBLANK(H23),ISBLANK(K23)),"",IF(I23&lt;15,Ceilings!$S$3*I23,Ceilings!$S$3*14+Ceilings!$S$4*(I23-14)))</f>
        <v/>
      </c>
      <c r="P23" s="282" t="str">
        <f t="shared" si="2"/>
        <v/>
      </c>
      <c r="Q23" s="173"/>
      <c r="R23" s="282" t="str">
        <f>IF(OR(ISBLANK($D23),ISBLANK($K23),ISBLANK(Q23)),"",Ceilings!$V$3*Q23)</f>
        <v/>
      </c>
      <c r="S23" s="116" t="str">
        <f t="shared" si="3"/>
        <v/>
      </c>
    </row>
    <row r="24" spans="1:19" ht="15.75" customHeight="1">
      <c r="A24" s="52"/>
      <c r="B24" s="95" t="str">
        <f>IF(ISBLANK(A24),"",VLOOKUP(A24,Management!$A$6:$C$20,2,0))</f>
        <v/>
      </c>
      <c r="C24" s="81"/>
      <c r="D24" s="102"/>
      <c r="E24" s="81"/>
      <c r="F24" s="334"/>
      <c r="G24" s="182" t="str">
        <f t="shared" si="0"/>
        <v/>
      </c>
      <c r="H24" s="173"/>
      <c r="I24" s="334"/>
      <c r="J24" s="182" t="str">
        <f t="shared" si="1"/>
        <v/>
      </c>
      <c r="K24" s="125"/>
      <c r="L24" s="128"/>
      <c r="M24" s="282" t="str">
        <f>IF(ISBLANK(L24),"",SUM(E24,H24)*VLOOKUP(L24,Ceilings!$X$4:$Y$5,2,0))</f>
        <v/>
      </c>
      <c r="N24" s="283" t="str">
        <f>IF(OR(ISBLANK($D24),ISBLANK($K24)),"",IF(LEFT($D24,18)="Short-term blended",IF($F24&lt;15,Ceilings!$S$6*$F24,Ceilings!$S$6*14+Ceilings!$S$7*($F24-14)),IF(LEFT($D24,18)="Short-term joint s",IF($F24&lt;15,Ceilings!$S$3*$F24,Ceilings!$S$3*14+Ceilings!$S$4*($F24-14)),VLOOKUP($K24,Subsistence,2,0)*14+VLOOKUP($K24,Subsistence,3,0)*46+IF($F24&gt;60,VLOOKUP($K24,Subsistence,4,0)*($F24-60),0))))</f>
        <v/>
      </c>
      <c r="O24" s="284" t="str">
        <f>IF(OR(ISBLANK(D24),ISBLANK(H24),ISBLANK(K24)),"",IF(I24&lt;15,Ceilings!$S$3*I24,Ceilings!$S$3*14+Ceilings!$S$4*(I24-14)))</f>
        <v/>
      </c>
      <c r="P24" s="282" t="str">
        <f t="shared" si="2"/>
        <v/>
      </c>
      <c r="Q24" s="173"/>
      <c r="R24" s="282" t="str">
        <f>IF(OR(ISBLANK($D24),ISBLANK($K24),ISBLANK(Q24)),"",Ceilings!$V$3*Q24)</f>
        <v/>
      </c>
      <c r="S24" s="116" t="str">
        <f t="shared" si="3"/>
        <v/>
      </c>
    </row>
    <row r="25" spans="1:19" ht="15.75" customHeight="1">
      <c r="A25" s="52"/>
      <c r="B25" s="95" t="str">
        <f>IF(ISBLANK(A25),"",VLOOKUP(A25,Management!$A$6:$C$20,2,0))</f>
        <v/>
      </c>
      <c r="C25" s="81"/>
      <c r="D25" s="102"/>
      <c r="E25" s="81"/>
      <c r="F25" s="334"/>
      <c r="G25" s="182" t="str">
        <f t="shared" si="0"/>
        <v/>
      </c>
      <c r="H25" s="173"/>
      <c r="I25" s="334"/>
      <c r="J25" s="182" t="str">
        <f t="shared" si="1"/>
        <v/>
      </c>
      <c r="K25" s="125"/>
      <c r="L25" s="128"/>
      <c r="M25" s="282" t="str">
        <f>IF(ISBLANK(L25),"",SUM(E25,H25)*VLOOKUP(L25,Ceilings!$X$4:$Y$5,2,0))</f>
        <v/>
      </c>
      <c r="N25" s="283" t="str">
        <f>IF(OR(ISBLANK($D25),ISBLANK($K25)),"",IF(LEFT($D25,18)="Short-term blended",IF($F25&lt;15,Ceilings!$S$6*$F25,Ceilings!$S$6*14+Ceilings!$S$7*($F25-14)),IF(LEFT($D25,18)="Short-term joint s",IF($F25&lt;15,Ceilings!$S$3*$F25,Ceilings!$S$3*14+Ceilings!$S$4*($F25-14)),VLOOKUP($K25,Subsistence,2,0)*14+VLOOKUP($K25,Subsistence,3,0)*46+IF($F25&gt;60,VLOOKUP($K25,Subsistence,4,0)*($F25-60),0))))</f>
        <v/>
      </c>
      <c r="O25" s="284" t="str">
        <f>IF(OR(ISBLANK(D25),ISBLANK(H25),ISBLANK(K25)),"",IF(I25&lt;15,Ceilings!$S$3*I25,Ceilings!$S$3*14+Ceilings!$S$4*(I25-14)))</f>
        <v/>
      </c>
      <c r="P25" s="282" t="str">
        <f t="shared" si="2"/>
        <v/>
      </c>
      <c r="Q25" s="173"/>
      <c r="R25" s="282" t="str">
        <f>IF(OR(ISBLANK($D25),ISBLANK($K25),ISBLANK(Q25)),"",Ceilings!$V$3*Q25)</f>
        <v/>
      </c>
      <c r="S25" s="116" t="str">
        <f t="shared" si="3"/>
        <v/>
      </c>
    </row>
    <row r="26" spans="1:19" ht="15.75" customHeight="1">
      <c r="A26" s="52"/>
      <c r="B26" s="95" t="str">
        <f>IF(ISBLANK(A26),"",VLOOKUP(A26,Management!$A$6:$C$20,2,0))</f>
        <v/>
      </c>
      <c r="C26" s="81"/>
      <c r="D26" s="102"/>
      <c r="E26" s="81"/>
      <c r="F26" s="334"/>
      <c r="G26" s="182" t="str">
        <f t="shared" si="0"/>
        <v/>
      </c>
      <c r="H26" s="173"/>
      <c r="I26" s="334"/>
      <c r="J26" s="182" t="str">
        <f t="shared" si="1"/>
        <v/>
      </c>
      <c r="K26" s="125"/>
      <c r="L26" s="128"/>
      <c r="M26" s="282" t="str">
        <f>IF(ISBLANK(L26),"",SUM(E26,H26)*VLOOKUP(L26,Ceilings!$X$4:$Y$5,2,0))</f>
        <v/>
      </c>
      <c r="N26" s="283" t="str">
        <f>IF(OR(ISBLANK($D26),ISBLANK($K26)),"",IF(LEFT($D26,18)="Short-term blended",IF($F26&lt;15,Ceilings!$S$6*$F26,Ceilings!$S$6*14+Ceilings!$S$7*($F26-14)),IF(LEFT($D26,18)="Short-term joint s",IF($F26&lt;15,Ceilings!$S$3*$F26,Ceilings!$S$3*14+Ceilings!$S$4*($F26-14)),VLOOKUP($K26,Subsistence,2,0)*14+VLOOKUP($K26,Subsistence,3,0)*46+IF($F26&gt;60,VLOOKUP($K26,Subsistence,4,0)*($F26-60),0))))</f>
        <v/>
      </c>
      <c r="O26" s="284" t="str">
        <f>IF(OR(ISBLANK(D26),ISBLANK(H26),ISBLANK(K26)),"",IF(I26&lt;15,Ceilings!$S$3*I26,Ceilings!$S$3*14+Ceilings!$S$4*(I26-14)))</f>
        <v/>
      </c>
      <c r="P26" s="282" t="str">
        <f t="shared" si="2"/>
        <v/>
      </c>
      <c r="Q26" s="173"/>
      <c r="R26" s="282" t="str">
        <f>IF(OR(ISBLANK($D26),ISBLANK($K26),ISBLANK(Q26)),"",Ceilings!$V$3*Q26)</f>
        <v/>
      </c>
      <c r="S26" s="116" t="str">
        <f t="shared" si="3"/>
        <v/>
      </c>
    </row>
    <row r="27" spans="1:19" ht="15.75" customHeight="1">
      <c r="A27" s="52"/>
      <c r="B27" s="95" t="str">
        <f>IF(ISBLANK(A27),"",VLOOKUP(A27,Management!$A$6:$C$20,2,0))</f>
        <v/>
      </c>
      <c r="C27" s="81"/>
      <c r="D27" s="102"/>
      <c r="E27" s="81"/>
      <c r="F27" s="334"/>
      <c r="G27" s="182" t="str">
        <f t="shared" si="0"/>
        <v/>
      </c>
      <c r="H27" s="173"/>
      <c r="I27" s="334"/>
      <c r="J27" s="182" t="str">
        <f t="shared" si="1"/>
        <v/>
      </c>
      <c r="K27" s="125"/>
      <c r="L27" s="128"/>
      <c r="M27" s="282" t="str">
        <f>IF(ISBLANK(L27),"",SUM(E27,H27)*VLOOKUP(L27,Ceilings!$X$4:$Y$5,2,0))</f>
        <v/>
      </c>
      <c r="N27" s="283" t="str">
        <f>IF(OR(ISBLANK($D27),ISBLANK($K27)),"",IF(LEFT($D27,18)="Short-term blended",IF($F27&lt;15,Ceilings!$S$6*$F27,Ceilings!$S$6*14+Ceilings!$S$7*($F27-14)),IF(LEFT($D27,18)="Short-term joint s",IF($F27&lt;15,Ceilings!$S$3*$F27,Ceilings!$S$3*14+Ceilings!$S$4*($F27-14)),VLOOKUP($K27,Subsistence,2,0)*14+VLOOKUP($K27,Subsistence,3,0)*46+IF($F27&gt;60,VLOOKUP($K27,Subsistence,4,0)*($F27-60),0))))</f>
        <v/>
      </c>
      <c r="O27" s="284" t="str">
        <f>IF(OR(ISBLANK(D27),ISBLANK(H27),ISBLANK(K27)),"",IF(I27&lt;15,Ceilings!$S$3*I27,Ceilings!$S$3*14+Ceilings!$S$4*(I27-14)))</f>
        <v/>
      </c>
      <c r="P27" s="282" t="str">
        <f t="shared" si="2"/>
        <v/>
      </c>
      <c r="Q27" s="173"/>
      <c r="R27" s="282" t="str">
        <f>IF(OR(ISBLANK($D27),ISBLANK($K27),ISBLANK(Q27)),"",Ceilings!$V$3*Q27)</f>
        <v/>
      </c>
      <c r="S27" s="116" t="str">
        <f t="shared" si="3"/>
        <v/>
      </c>
    </row>
    <row r="28" spans="1:19" ht="15.75" customHeight="1">
      <c r="A28" s="52"/>
      <c r="B28" s="95" t="str">
        <f>IF(ISBLANK(A28),"",VLOOKUP(A28,Management!$A$6:$C$20,2,0))</f>
        <v/>
      </c>
      <c r="C28" s="81"/>
      <c r="D28" s="102"/>
      <c r="E28" s="81"/>
      <c r="F28" s="334"/>
      <c r="G28" s="182" t="str">
        <f t="shared" si="0"/>
        <v/>
      </c>
      <c r="H28" s="173"/>
      <c r="I28" s="334"/>
      <c r="J28" s="182" t="str">
        <f t="shared" si="1"/>
        <v/>
      </c>
      <c r="K28" s="125"/>
      <c r="L28" s="128"/>
      <c r="M28" s="282" t="str">
        <f>IF(ISBLANK(L28),"",SUM(E28,H28)*VLOOKUP(L28,Ceilings!$X$4:$Y$5,2,0))</f>
        <v/>
      </c>
      <c r="N28" s="283" t="str">
        <f>IF(OR(ISBLANK($D28),ISBLANK($K28)),"",IF(LEFT($D28,18)="Short-term blended",IF($F28&lt;15,Ceilings!$S$6*$F28,Ceilings!$S$6*14+Ceilings!$S$7*($F28-14)),IF(LEFT($D28,18)="Short-term joint s",IF($F28&lt;15,Ceilings!$S$3*$F28,Ceilings!$S$3*14+Ceilings!$S$4*($F28-14)),VLOOKUP($K28,Subsistence,2,0)*14+VLOOKUP($K28,Subsistence,3,0)*46+IF($F28&gt;60,VLOOKUP($K28,Subsistence,4,0)*($F28-60),0))))</f>
        <v/>
      </c>
      <c r="O28" s="284" t="str">
        <f>IF(OR(ISBLANK(D28),ISBLANK(H28),ISBLANK(K28)),"",IF(I28&lt;15,Ceilings!$S$3*I28,Ceilings!$S$3*14+Ceilings!$S$4*(I28-14)))</f>
        <v/>
      </c>
      <c r="P28" s="282" t="str">
        <f t="shared" si="2"/>
        <v/>
      </c>
      <c r="Q28" s="173"/>
      <c r="R28" s="282" t="str">
        <f>IF(OR(ISBLANK($D28),ISBLANK($K28),ISBLANK(Q28)),"",Ceilings!$V$3*Q28)</f>
        <v/>
      </c>
      <c r="S28" s="116" t="str">
        <f t="shared" si="3"/>
        <v/>
      </c>
    </row>
    <row r="29" spans="1:19" ht="15.75" customHeight="1">
      <c r="A29" s="52"/>
      <c r="B29" s="95" t="str">
        <f>IF(ISBLANK(A29),"",VLOOKUP(A29,Management!$A$6:$C$20,2,0))</f>
        <v/>
      </c>
      <c r="C29" s="81"/>
      <c r="D29" s="102"/>
      <c r="E29" s="81"/>
      <c r="F29" s="334"/>
      <c r="G29" s="182" t="str">
        <f t="shared" si="0"/>
        <v/>
      </c>
      <c r="H29" s="173"/>
      <c r="I29" s="334"/>
      <c r="J29" s="182" t="str">
        <f t="shared" si="1"/>
        <v/>
      </c>
      <c r="K29" s="125"/>
      <c r="L29" s="128"/>
      <c r="M29" s="282" t="str">
        <f>IF(ISBLANK(L29),"",SUM(E29,H29)*VLOOKUP(L29,Ceilings!$X$4:$Y$5,2,0))</f>
        <v/>
      </c>
      <c r="N29" s="283" t="str">
        <f>IF(OR(ISBLANK($D29),ISBLANK($K29)),"",IF(LEFT($D29,18)="Short-term blended",IF($F29&lt;15,Ceilings!$S$6*$F29,Ceilings!$S$6*14+Ceilings!$S$7*($F29-14)),IF(LEFT($D29,18)="Short-term joint s",IF($F29&lt;15,Ceilings!$S$3*$F29,Ceilings!$S$3*14+Ceilings!$S$4*($F29-14)),VLOOKUP($K29,Subsistence,2,0)*14+VLOOKUP($K29,Subsistence,3,0)*46+IF($F29&gt;60,VLOOKUP($K29,Subsistence,4,0)*($F29-60),0))))</f>
        <v/>
      </c>
      <c r="O29" s="284" t="str">
        <f>IF(OR(ISBLANK(D29),ISBLANK(H29),ISBLANK(K29)),"",IF(I29&lt;15,Ceilings!$S$3*I29,Ceilings!$S$3*14+Ceilings!$S$4*(I29-14)))</f>
        <v/>
      </c>
      <c r="P29" s="282" t="str">
        <f t="shared" si="2"/>
        <v/>
      </c>
      <c r="Q29" s="173"/>
      <c r="R29" s="282" t="str">
        <f>IF(OR(ISBLANK($D29),ISBLANK($K29),ISBLANK(Q29)),"",Ceilings!$V$3*Q29)</f>
        <v/>
      </c>
      <c r="S29" s="116" t="str">
        <f t="shared" si="3"/>
        <v/>
      </c>
    </row>
    <row r="30" spans="1:19" ht="15.75" customHeight="1">
      <c r="A30" s="52"/>
      <c r="B30" s="95" t="str">
        <f>IF(ISBLANK(A30),"",VLOOKUP(A30,Management!$A$6:$C$20,2,0))</f>
        <v/>
      </c>
      <c r="C30" s="81"/>
      <c r="D30" s="102"/>
      <c r="E30" s="81"/>
      <c r="F30" s="334"/>
      <c r="G30" s="182" t="str">
        <f t="shared" si="0"/>
        <v/>
      </c>
      <c r="H30" s="173"/>
      <c r="I30" s="334"/>
      <c r="J30" s="182" t="str">
        <f t="shared" si="1"/>
        <v/>
      </c>
      <c r="K30" s="125"/>
      <c r="L30" s="128"/>
      <c r="M30" s="282" t="str">
        <f>IF(ISBLANK(L30),"",SUM(E30,H30)*VLOOKUP(L30,Ceilings!$X$4:$Y$5,2,0))</f>
        <v/>
      </c>
      <c r="N30" s="283" t="str">
        <f>IF(OR(ISBLANK($D30),ISBLANK($K30)),"",IF(LEFT($D30,18)="Short-term blended",IF($F30&lt;15,Ceilings!$S$6*$F30,Ceilings!$S$6*14+Ceilings!$S$7*($F30-14)),IF(LEFT($D30,18)="Short-term joint s",IF($F30&lt;15,Ceilings!$S$3*$F30,Ceilings!$S$3*14+Ceilings!$S$4*($F30-14)),VLOOKUP($K30,Subsistence,2,0)*14+VLOOKUP($K30,Subsistence,3,0)*46+IF($F30&gt;60,VLOOKUP($K30,Subsistence,4,0)*($F30-60),0))))</f>
        <v/>
      </c>
      <c r="O30" s="284" t="str">
        <f>IF(OR(ISBLANK(D30),ISBLANK(H30),ISBLANK(K30)),"",IF(I30&lt;15,Ceilings!$S$3*I30,Ceilings!$S$3*14+Ceilings!$S$4*(I30-14)))</f>
        <v/>
      </c>
      <c r="P30" s="282" t="str">
        <f t="shared" si="2"/>
        <v/>
      </c>
      <c r="Q30" s="173"/>
      <c r="R30" s="282" t="str">
        <f>IF(OR(ISBLANK($D30),ISBLANK($K30),ISBLANK(Q30)),"",Ceilings!$V$3*Q30)</f>
        <v/>
      </c>
      <c r="S30" s="116" t="str">
        <f t="shared" si="3"/>
        <v/>
      </c>
    </row>
    <row r="31" spans="1:19" ht="15.75" customHeight="1">
      <c r="A31" s="52"/>
      <c r="B31" s="95" t="str">
        <f>IF(ISBLANK(A31),"",VLOOKUP(A31,Management!$A$6:$C$20,2,0))</f>
        <v/>
      </c>
      <c r="C31" s="81"/>
      <c r="D31" s="102"/>
      <c r="E31" s="81"/>
      <c r="F31" s="334"/>
      <c r="G31" s="182" t="str">
        <f t="shared" si="0"/>
        <v/>
      </c>
      <c r="H31" s="173"/>
      <c r="I31" s="334"/>
      <c r="J31" s="182" t="str">
        <f t="shared" si="1"/>
        <v/>
      </c>
      <c r="K31" s="125"/>
      <c r="L31" s="128"/>
      <c r="M31" s="282" t="str">
        <f>IF(ISBLANK(L31),"",SUM(E31,H31)*VLOOKUP(L31,Ceilings!$X$4:$Y$5,2,0))</f>
        <v/>
      </c>
      <c r="N31" s="283" t="str">
        <f>IF(OR(ISBLANK($D31),ISBLANK($K31)),"",IF(LEFT($D31,18)="Short-term blended",IF($F31&lt;15,Ceilings!$S$6*$F31,Ceilings!$S$6*14+Ceilings!$S$7*($F31-14)),IF(LEFT($D31,18)="Short-term joint s",IF($F31&lt;15,Ceilings!$S$3*$F31,Ceilings!$S$3*14+Ceilings!$S$4*($F31-14)),VLOOKUP($K31,Subsistence,2,0)*14+VLOOKUP($K31,Subsistence,3,0)*46+IF($F31&gt;60,VLOOKUP($K31,Subsistence,4,0)*($F31-60),0))))</f>
        <v/>
      </c>
      <c r="O31" s="284" t="str">
        <f>IF(OR(ISBLANK(D31),ISBLANK(H31),ISBLANK(K31)),"",IF(I31&lt;15,Ceilings!$S$3*I31,Ceilings!$S$3*14+Ceilings!$S$4*(I31-14)))</f>
        <v/>
      </c>
      <c r="P31" s="282" t="str">
        <f t="shared" si="2"/>
        <v/>
      </c>
      <c r="Q31" s="173"/>
      <c r="R31" s="282" t="str">
        <f>IF(OR(ISBLANK($D31),ISBLANK($K31),ISBLANK(Q31)),"",Ceilings!$V$3*Q31)</f>
        <v/>
      </c>
      <c r="S31" s="116" t="str">
        <f t="shared" si="3"/>
        <v/>
      </c>
    </row>
    <row r="32" spans="1:19" ht="15.75" customHeight="1">
      <c r="A32" s="52"/>
      <c r="B32" s="95" t="str">
        <f>IF(ISBLANK(A32),"",VLOOKUP(A32,Management!$A$6:$C$20,2,0))</f>
        <v/>
      </c>
      <c r="C32" s="81"/>
      <c r="D32" s="102"/>
      <c r="E32" s="81"/>
      <c r="F32" s="334"/>
      <c r="G32" s="182" t="str">
        <f t="shared" si="0"/>
        <v/>
      </c>
      <c r="H32" s="173"/>
      <c r="I32" s="334"/>
      <c r="J32" s="182" t="str">
        <f t="shared" si="1"/>
        <v/>
      </c>
      <c r="K32" s="125"/>
      <c r="L32" s="128"/>
      <c r="M32" s="282" t="str">
        <f>IF(ISBLANK(L32),"",SUM(E32,H32)*VLOOKUP(L32,Ceilings!$X$4:$Y$5,2,0))</f>
        <v/>
      </c>
      <c r="N32" s="283" t="str">
        <f>IF(OR(ISBLANK($D32),ISBLANK($K32)),"",IF(LEFT($D32,18)="Short-term blended",IF($F32&lt;15,Ceilings!$S$6*$F32,Ceilings!$S$6*14+Ceilings!$S$7*($F32-14)),IF(LEFT($D32,18)="Short-term joint s",IF($F32&lt;15,Ceilings!$S$3*$F32,Ceilings!$S$3*14+Ceilings!$S$4*($F32-14)),VLOOKUP($K32,Subsistence,2,0)*14+VLOOKUP($K32,Subsistence,3,0)*46+IF($F32&gt;60,VLOOKUP($K32,Subsistence,4,0)*($F32-60),0))))</f>
        <v/>
      </c>
      <c r="O32" s="284" t="str">
        <f>IF(OR(ISBLANK(D32),ISBLANK(H32),ISBLANK(K32)),"",IF(I32&lt;15,Ceilings!$S$3*I32,Ceilings!$S$3*14+Ceilings!$S$4*(I32-14)))</f>
        <v/>
      </c>
      <c r="P32" s="282" t="str">
        <f t="shared" si="2"/>
        <v/>
      </c>
      <c r="Q32" s="173"/>
      <c r="R32" s="282" t="str">
        <f>IF(OR(ISBLANK($D32),ISBLANK($K32),ISBLANK(Q32)),"",Ceilings!$V$3*Q32)</f>
        <v/>
      </c>
      <c r="S32" s="116" t="str">
        <f t="shared" si="3"/>
        <v/>
      </c>
    </row>
    <row r="33" spans="1:19" ht="15.75" customHeight="1">
      <c r="A33" s="52"/>
      <c r="B33" s="95" t="str">
        <f>IF(ISBLANK(A33),"",VLOOKUP(A33,Management!$A$6:$C$20,2,0))</f>
        <v/>
      </c>
      <c r="C33" s="81"/>
      <c r="D33" s="102"/>
      <c r="E33" s="81"/>
      <c r="F33" s="334"/>
      <c r="G33" s="182" t="str">
        <f t="shared" si="0"/>
        <v/>
      </c>
      <c r="H33" s="173"/>
      <c r="I33" s="334"/>
      <c r="J33" s="182" t="str">
        <f t="shared" si="1"/>
        <v/>
      </c>
      <c r="K33" s="125"/>
      <c r="L33" s="128"/>
      <c r="M33" s="282" t="str">
        <f>IF(ISBLANK(L33),"",SUM(E33,H33)*VLOOKUP(L33,Ceilings!$X$4:$Y$5,2,0))</f>
        <v/>
      </c>
      <c r="N33" s="283" t="str">
        <f>IF(OR(ISBLANK($D33),ISBLANK($K33)),"",IF(LEFT($D33,18)="Short-term blended",IF($F33&lt;15,Ceilings!$S$6*$F33,Ceilings!$S$6*14+Ceilings!$S$7*($F33-14)),IF(LEFT($D33,18)="Short-term joint s",IF($F33&lt;15,Ceilings!$S$3*$F33,Ceilings!$S$3*14+Ceilings!$S$4*($F33-14)),VLOOKUP($K33,Subsistence,2,0)*14+VLOOKUP($K33,Subsistence,3,0)*46+IF($F33&gt;60,VLOOKUP($K33,Subsistence,4,0)*($F33-60),0))))</f>
        <v/>
      </c>
      <c r="O33" s="284" t="str">
        <f>IF(OR(ISBLANK(D33),ISBLANK(H33),ISBLANK(K33)),"",IF(I33&lt;15,Ceilings!$S$3*I33,Ceilings!$S$3*14+Ceilings!$S$4*(I33-14)))</f>
        <v/>
      </c>
      <c r="P33" s="282" t="str">
        <f t="shared" si="2"/>
        <v/>
      </c>
      <c r="Q33" s="173"/>
      <c r="R33" s="282" t="str">
        <f>IF(OR(ISBLANK($D33),ISBLANK($K33),ISBLANK(Q33)),"",Ceilings!$V$3*Q33)</f>
        <v/>
      </c>
      <c r="S33" s="116" t="str">
        <f t="shared" si="3"/>
        <v/>
      </c>
    </row>
    <row r="34" spans="1:19" ht="15.75" customHeight="1">
      <c r="A34" s="52"/>
      <c r="B34" s="95" t="str">
        <f>IF(ISBLANK(A34),"",VLOOKUP(A34,Management!$A$6:$C$20,2,0))</f>
        <v/>
      </c>
      <c r="C34" s="81"/>
      <c r="D34" s="102"/>
      <c r="E34" s="81"/>
      <c r="F34" s="334"/>
      <c r="G34" s="182" t="str">
        <f t="shared" si="0"/>
        <v/>
      </c>
      <c r="H34" s="173"/>
      <c r="I34" s="334"/>
      <c r="J34" s="182" t="str">
        <f t="shared" si="1"/>
        <v/>
      </c>
      <c r="K34" s="125"/>
      <c r="L34" s="128"/>
      <c r="M34" s="282" t="str">
        <f>IF(ISBLANK(L34),"",SUM(E34,H34)*VLOOKUP(L34,Ceilings!$X$4:$Y$5,2,0))</f>
        <v/>
      </c>
      <c r="N34" s="283" t="str">
        <f>IF(OR(ISBLANK($D34),ISBLANK($K34)),"",IF(LEFT($D34,18)="Short-term blended",IF($F34&lt;15,Ceilings!$S$6*$F34,Ceilings!$S$6*14+Ceilings!$S$7*($F34-14)),IF(LEFT($D34,18)="Short-term joint s",IF($F34&lt;15,Ceilings!$S$3*$F34,Ceilings!$S$3*14+Ceilings!$S$4*($F34-14)),VLOOKUP($K34,Subsistence,2,0)*14+VLOOKUP($K34,Subsistence,3,0)*46+IF($F34&gt;60,VLOOKUP($K34,Subsistence,4,0)*($F34-60),0))))</f>
        <v/>
      </c>
      <c r="O34" s="284" t="str">
        <f>IF(OR(ISBLANK(D34),ISBLANK(H34),ISBLANK(K34)),"",IF(I34&lt;15,Ceilings!$S$3*I34,Ceilings!$S$3*14+Ceilings!$S$4*(I34-14)))</f>
        <v/>
      </c>
      <c r="P34" s="282" t="str">
        <f t="shared" si="2"/>
        <v/>
      </c>
      <c r="Q34" s="173"/>
      <c r="R34" s="282" t="str">
        <f>IF(OR(ISBLANK($D34),ISBLANK($K34),ISBLANK(Q34)),"",Ceilings!$V$3*Q34)</f>
        <v/>
      </c>
      <c r="S34" s="116" t="str">
        <f t="shared" si="3"/>
        <v/>
      </c>
    </row>
    <row r="35" spans="1:19" ht="15.75" customHeight="1">
      <c r="A35" s="52"/>
      <c r="B35" s="95" t="str">
        <f>IF(ISBLANK(A35),"",VLOOKUP(A35,Management!$A$6:$C$20,2,0))</f>
        <v/>
      </c>
      <c r="C35" s="81"/>
      <c r="D35" s="102"/>
      <c r="E35" s="81"/>
      <c r="F35" s="334"/>
      <c r="G35" s="182" t="str">
        <f t="shared" si="0"/>
        <v/>
      </c>
      <c r="H35" s="173"/>
      <c r="I35" s="334"/>
      <c r="J35" s="182" t="str">
        <f t="shared" si="1"/>
        <v/>
      </c>
      <c r="K35" s="125"/>
      <c r="L35" s="128"/>
      <c r="M35" s="282" t="str">
        <f>IF(ISBLANK(L35),"",SUM(E35,H35)*VLOOKUP(L35,Ceilings!$X$4:$Y$5,2,0))</f>
        <v/>
      </c>
      <c r="N35" s="283" t="str">
        <f>IF(OR(ISBLANK($D35),ISBLANK($K35)),"",IF(LEFT($D35,18)="Short-term blended",IF($F35&lt;15,Ceilings!$S$6*$F35,Ceilings!$S$6*14+Ceilings!$S$7*($F35-14)),IF(LEFT($D35,18)="Short-term joint s",IF($F35&lt;15,Ceilings!$S$3*$F35,Ceilings!$S$3*14+Ceilings!$S$4*($F35-14)),VLOOKUP($K35,Subsistence,2,0)*14+VLOOKUP($K35,Subsistence,3,0)*46+IF($F35&gt;60,VLOOKUP($K35,Subsistence,4,0)*($F35-60),0))))</f>
        <v/>
      </c>
      <c r="O35" s="284" t="str">
        <f>IF(OR(ISBLANK(D35),ISBLANK(H35),ISBLANK(K35)),"",IF(I35&lt;15,Ceilings!$S$3*I35,Ceilings!$S$3*14+Ceilings!$S$4*(I35-14)))</f>
        <v/>
      </c>
      <c r="P35" s="282" t="str">
        <f t="shared" si="2"/>
        <v/>
      </c>
      <c r="Q35" s="173"/>
      <c r="R35" s="282" t="str">
        <f>IF(OR(ISBLANK($D35),ISBLANK($K35),ISBLANK(Q35)),"",Ceilings!$V$3*Q35)</f>
        <v/>
      </c>
      <c r="S35" s="116" t="str">
        <f t="shared" si="3"/>
        <v/>
      </c>
    </row>
    <row r="36" spans="1:19" ht="15.75" customHeight="1">
      <c r="A36" s="52"/>
      <c r="B36" s="95" t="str">
        <f>IF(ISBLANK(A36),"",VLOOKUP(A36,Management!$A$6:$C$20,2,0))</f>
        <v/>
      </c>
      <c r="C36" s="81"/>
      <c r="D36" s="102"/>
      <c r="E36" s="81"/>
      <c r="F36" s="334"/>
      <c r="G36" s="182" t="str">
        <f t="shared" si="0"/>
        <v/>
      </c>
      <c r="H36" s="173"/>
      <c r="I36" s="334"/>
      <c r="J36" s="182" t="str">
        <f t="shared" si="1"/>
        <v/>
      </c>
      <c r="K36" s="125"/>
      <c r="L36" s="128"/>
      <c r="M36" s="282" t="str">
        <f>IF(ISBLANK(L36),"",SUM(E36,H36)*VLOOKUP(L36,Ceilings!$X$4:$Y$5,2,0))</f>
        <v/>
      </c>
      <c r="N36" s="283" t="str">
        <f>IF(OR(ISBLANK($D36),ISBLANK($K36)),"",IF(LEFT($D36,18)="Short-term blended",IF($F36&lt;15,Ceilings!$S$6*$F36,Ceilings!$S$6*14+Ceilings!$S$7*($F36-14)),IF(LEFT($D36,18)="Short-term joint s",IF($F36&lt;15,Ceilings!$S$3*$F36,Ceilings!$S$3*14+Ceilings!$S$4*($F36-14)),VLOOKUP($K36,Subsistence,2,0)*14+VLOOKUP($K36,Subsistence,3,0)*46+IF($F36&gt;60,VLOOKUP($K36,Subsistence,4,0)*($F36-60),0))))</f>
        <v/>
      </c>
      <c r="O36" s="284" t="str">
        <f>IF(OR(ISBLANK(D36),ISBLANK(H36),ISBLANK(K36)),"",IF(I36&lt;15,Ceilings!$S$3*I36,Ceilings!$S$3*14+Ceilings!$S$4*(I36-14)))</f>
        <v/>
      </c>
      <c r="P36" s="282" t="str">
        <f t="shared" si="2"/>
        <v/>
      </c>
      <c r="Q36" s="173"/>
      <c r="R36" s="282" t="str">
        <f>IF(OR(ISBLANK($D36),ISBLANK($K36),ISBLANK(Q36)),"",Ceilings!$V$3*Q36)</f>
        <v/>
      </c>
      <c r="S36" s="116" t="str">
        <f t="shared" si="3"/>
        <v/>
      </c>
    </row>
    <row r="37" spans="1:19" ht="15.75" customHeight="1" thickBot="1">
      <c r="A37" s="55"/>
      <c r="B37" s="96" t="str">
        <f>IF(ISBLANK(A37),"",VLOOKUP(A37,Management!$A$6:$C$20,2,0))</f>
        <v/>
      </c>
      <c r="C37" s="83"/>
      <c r="D37" s="103"/>
      <c r="E37" s="83"/>
      <c r="F37" s="335"/>
      <c r="G37" s="183" t="str">
        <f t="shared" si="0"/>
        <v/>
      </c>
      <c r="H37" s="174"/>
      <c r="I37" s="335"/>
      <c r="J37" s="183" t="str">
        <f t="shared" si="1"/>
        <v/>
      </c>
      <c r="K37" s="126"/>
      <c r="L37" s="129"/>
      <c r="M37" s="285" t="str">
        <f>IF(ISBLANK(L37),"",SUM(E37,H37)*VLOOKUP(L37,Ceilings!$X$4:$Y$5,2,0))</f>
        <v/>
      </c>
      <c r="N37" s="286" t="str">
        <f>IF(OR(ISBLANK($D37),ISBLANK($K37)),"",IF(LEFT($D37,18)="Short-term blended",IF($F37&lt;15,Ceilings!$S$6*$F37,Ceilings!$S$6*14+Ceilings!$S$7*($F37-14)),IF(LEFT($D37,18)="Short-term joint s",IF($F37&lt;15,Ceilings!$S$3*$F37,Ceilings!$S$3*14+Ceilings!$S$4*($F37-14)),VLOOKUP($K37,Subsistence,2,0)*14+VLOOKUP($K37,Subsistence,3,0)*46+IF($F37&gt;60,VLOOKUP($K37,Subsistence,4,0)*($F37-60),0))))</f>
        <v/>
      </c>
      <c r="O37" s="287" t="str">
        <f>IF(OR(ISBLANK(D37),ISBLANK(H37),ISBLANK(K37)),"",IF(I37&lt;15,Ceilings!$S$3*I37,Ceilings!$S$3*14+Ceilings!$S$4*(I37-14)))</f>
        <v/>
      </c>
      <c r="P37" s="285" t="str">
        <f t="shared" si="2"/>
        <v/>
      </c>
      <c r="Q37" s="174"/>
      <c r="R37" s="285" t="str">
        <f>IF(OR(ISBLANK($D37),ISBLANK($K37),ISBLANK(Q37)),"",Ceilings!$V$3*Q37)</f>
        <v/>
      </c>
      <c r="S37" s="120" t="str">
        <f t="shared" si="3"/>
        <v/>
      </c>
    </row>
  </sheetData>
  <sheetProtection password="CF02" sheet="1" objects="1" scenarios="1" sort="0" autoFilter="0"/>
  <mergeCells count="18">
    <mergeCell ref="F1:I2"/>
    <mergeCell ref="K1:Q1"/>
    <mergeCell ref="D2:E2"/>
    <mergeCell ref="K2:Q2"/>
    <mergeCell ref="K4:K5"/>
    <mergeCell ref="L4:L5"/>
    <mergeCell ref="M4:M5"/>
    <mergeCell ref="N4:P4"/>
    <mergeCell ref="Q4:R4"/>
    <mergeCell ref="S4:S5"/>
    <mergeCell ref="A4:A5"/>
    <mergeCell ref="B4:B5"/>
    <mergeCell ref="C4:C5"/>
    <mergeCell ref="D4:D5"/>
    <mergeCell ref="E4:E5"/>
    <mergeCell ref="F4:G5"/>
    <mergeCell ref="H4:H5"/>
    <mergeCell ref="I4:J5"/>
  </mergeCells>
  <conditionalFormatting sqref="H7:H37">
    <cfRule type="expression" dxfId="7" priority="5" stopIfTrue="1">
      <formula>LEFT($D7,18)="Short-term blended"</formula>
    </cfRule>
  </conditionalFormatting>
  <conditionalFormatting sqref="Q7:Q37">
    <cfRule type="expression" dxfId="6" priority="4" stopIfTrue="1">
      <formula>LEFT($D7,4)="Long"</formula>
    </cfRule>
  </conditionalFormatting>
  <conditionalFormatting sqref="K7:K37">
    <cfRule type="expression" priority="1" stopIfTrue="1">
      <formula>ISBLANK(K7)</formula>
    </cfRule>
    <cfRule type="expression" priority="2" stopIfTrue="1">
      <formula>LEFT($D7,16)="Short term joint"</formula>
    </cfRule>
    <cfRule type="cellIs" dxfId="5" priority="3" stopIfTrue="1" operator="equal">
      <formula>$B7</formula>
    </cfRule>
  </conditionalFormatting>
  <dataValidations count="9">
    <dataValidation type="custom" showInputMessage="1" showErrorMessage="1" sqref="Q7:Q37">
      <formula1>LEFT($D7,4)="Long"</formula1>
    </dataValidation>
    <dataValidation type="custom" showInputMessage="1" showErrorMessage="1" sqref="H7:H37">
      <formula1>LEFT($D7,18)="Short-term blended"</formula1>
    </dataValidation>
    <dataValidation type="custom" allowBlank="1" showInputMessage="1" showErrorMessage="1" error="It is not possible greater than for participants." sqref="I7:I37">
      <formula1>I7&lt;=F7</formula1>
    </dataValidation>
    <dataValidation type="list" allowBlank="1" showInputMessage="1" showErrorMessage="1" sqref="K7:K37">
      <formula1>dCountries</formula1>
    </dataValidation>
    <dataValidation type="list" allowBlank="1" showInputMessage="1" showErrorMessage="1" sqref="A7:A37">
      <formula1>Partners</formula1>
    </dataValidation>
    <dataValidation type="list" allowBlank="1" showInputMessage="1" showErrorMessage="1" sqref="D7:D37">
      <formula1>IF(ISNA(MATCH(B7,PCountries,0)),Activity_t,Y_Activity_t)</formula1>
    </dataValidation>
    <dataValidation type="list" allowBlank="1" showInputMessage="1" showErrorMessage="1" sqref="L7:L37">
      <formula1>Distances</formula1>
    </dataValidation>
    <dataValidation allowBlank="1" error="Long-term teaching or training assignments &lt; 367 days, otherwise between 5 and 60 days." sqref="G7:G37 J7:J37"/>
    <dataValidation type="custom" allowBlank="1" showErrorMessage="1" error="Long-term teaching or training must be between 60 and 365 days, otherwise between 5 and 60 days." sqref="F7:F37">
      <formula1>IF(LEFT($D7,4)="Long",AND(F7&gt;59,F7&lt;366),AND(F7&gt;4,F7&lt;61))</formula1>
    </dataValidation>
  </dataValidations>
  <printOptions horizontalCentered="1"/>
  <pageMargins left="0.27559055118110237" right="0.27559055118110237" top="0.6692913385826772" bottom="0.6692913385826772" header="0.37187500000000001" footer="0.51181102362204722"/>
  <pageSetup paperSize="9" scale="70" orientation="landscape" r:id="rId1"/>
  <headerFooter scaleWithDoc="0">
    <oddHeader>&amp;C&amp;11 2016. E+ KA204&amp;RVersion: 2016.01.17. - TKA</oddHeader>
    <oddFooter>&amp;C&amp;"Arial,Félkövér"&amp;A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X37"/>
  <sheetViews>
    <sheetView zoomScaleNormal="100" workbookViewId="0">
      <selection activeCell="A7" sqref="A7"/>
    </sheetView>
  </sheetViews>
  <sheetFormatPr defaultColWidth="8.85546875" defaultRowHeight="12.75"/>
  <cols>
    <col min="1" max="1" width="6.42578125" style="97" customWidth="1"/>
    <col min="2" max="2" width="12.7109375" style="98" bestFit="1" customWidth="1"/>
    <col min="3" max="3" width="6.85546875" style="77" bestFit="1" customWidth="1"/>
    <col min="4" max="4" width="47.28515625" style="99" customWidth="1"/>
    <col min="5" max="5" width="10.42578125" style="77" bestFit="1" customWidth="1"/>
    <col min="6" max="6" width="5.28515625" style="77" customWidth="1"/>
    <col min="7" max="7" width="5" style="77" bestFit="1" customWidth="1"/>
    <col min="8" max="8" width="10.42578125" style="77" customWidth="1"/>
    <col min="9" max="9" width="5.28515625" style="77" customWidth="1"/>
    <col min="10" max="10" width="5" style="77" bestFit="1" customWidth="1"/>
    <col min="11" max="11" width="11.7109375" style="93" customWidth="1"/>
    <col min="12" max="12" width="17.28515625" style="100" bestFit="1" customWidth="1"/>
    <col min="13" max="13" width="10" style="78" bestFit="1" customWidth="1"/>
    <col min="14" max="15" width="10.7109375" style="78" customWidth="1"/>
    <col min="16" max="16" width="10.42578125" style="78" bestFit="1" customWidth="1"/>
    <col min="17" max="17" width="10.140625" style="78" bestFit="1" customWidth="1"/>
    <col min="18" max="18" width="9.140625" style="78" bestFit="1" customWidth="1"/>
    <col min="19" max="19" width="11.42578125" style="78" bestFit="1" customWidth="1"/>
    <col min="20" max="16384" width="8.85546875" style="93"/>
  </cols>
  <sheetData>
    <row r="1" spans="1:258" s="91" customFormat="1" ht="15.75" customHeight="1">
      <c r="A1" s="235" t="s">
        <v>434</v>
      </c>
      <c r="B1" s="236"/>
      <c r="C1" s="220"/>
      <c r="D1" s="237"/>
      <c r="E1" s="220"/>
      <c r="F1" s="535" t="s">
        <v>478</v>
      </c>
      <c r="G1" s="536"/>
      <c r="H1" s="536"/>
      <c r="I1" s="537"/>
      <c r="K1" s="514" t="s">
        <v>445</v>
      </c>
      <c r="L1" s="515"/>
      <c r="M1" s="515"/>
      <c r="N1" s="515"/>
      <c r="O1" s="515"/>
      <c r="P1" s="515"/>
      <c r="Q1" s="516"/>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c r="IW1" s="93"/>
      <c r="IX1" s="93"/>
    </row>
    <row r="2" spans="1:258" s="91" customFormat="1" ht="16.5" thickBot="1">
      <c r="A2" s="238" t="s">
        <v>0</v>
      </c>
      <c r="B2" s="239"/>
      <c r="D2" s="527" t="s">
        <v>483</v>
      </c>
      <c r="E2" s="527"/>
      <c r="F2" s="538"/>
      <c r="G2" s="539"/>
      <c r="H2" s="539"/>
      <c r="I2" s="540"/>
      <c r="K2" s="511" t="s">
        <v>446</v>
      </c>
      <c r="L2" s="512"/>
      <c r="M2" s="512"/>
      <c r="N2" s="512"/>
      <c r="O2" s="512"/>
      <c r="P2" s="512"/>
      <c r="Q2" s="51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row>
    <row r="3" spans="1:258" s="92" customFormat="1" ht="13.5" thickBot="1">
      <c r="A3" s="240" t="s">
        <v>1</v>
      </c>
      <c r="B3" s="241"/>
      <c r="C3" s="229"/>
      <c r="D3" s="242"/>
      <c r="E3" s="229"/>
      <c r="F3" s="229"/>
      <c r="G3" s="229"/>
      <c r="H3" s="229"/>
      <c r="I3" s="229"/>
      <c r="J3" s="229"/>
      <c r="K3" s="243"/>
      <c r="L3" s="244"/>
      <c r="M3" s="230"/>
      <c r="N3" s="230"/>
      <c r="O3" s="230"/>
      <c r="P3" s="230"/>
      <c r="Q3" s="230"/>
      <c r="R3" s="230"/>
      <c r="S3" s="230"/>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row>
    <row r="4" spans="1:258" s="92" customFormat="1" ht="12.75" customHeight="1">
      <c r="A4" s="481" t="s">
        <v>319</v>
      </c>
      <c r="B4" s="483" t="s">
        <v>32</v>
      </c>
      <c r="C4" s="487" t="s">
        <v>337</v>
      </c>
      <c r="D4" s="517" t="s">
        <v>154</v>
      </c>
      <c r="E4" s="487" t="s">
        <v>422</v>
      </c>
      <c r="F4" s="519" t="s">
        <v>451</v>
      </c>
      <c r="G4" s="520"/>
      <c r="H4" s="487" t="s">
        <v>421</v>
      </c>
      <c r="I4" s="523" t="s">
        <v>452</v>
      </c>
      <c r="J4" s="524"/>
      <c r="K4" s="519" t="s">
        <v>35</v>
      </c>
      <c r="L4" s="528" t="s">
        <v>130</v>
      </c>
      <c r="M4" s="530" t="s">
        <v>156</v>
      </c>
      <c r="N4" s="532" t="s">
        <v>343</v>
      </c>
      <c r="O4" s="533"/>
      <c r="P4" s="534"/>
      <c r="Q4" s="509" t="s">
        <v>341</v>
      </c>
      <c r="R4" s="510"/>
      <c r="S4" s="489" t="s">
        <v>142</v>
      </c>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row>
    <row r="5" spans="1:258" s="123" customFormat="1" ht="26.25" thickBot="1">
      <c r="A5" s="482"/>
      <c r="B5" s="484"/>
      <c r="C5" s="488"/>
      <c r="D5" s="518"/>
      <c r="E5" s="488"/>
      <c r="F5" s="521"/>
      <c r="G5" s="522"/>
      <c r="H5" s="488"/>
      <c r="I5" s="525"/>
      <c r="J5" s="526"/>
      <c r="K5" s="521"/>
      <c r="L5" s="529"/>
      <c r="M5" s="531"/>
      <c r="N5" s="245" t="s">
        <v>344</v>
      </c>
      <c r="O5" s="246" t="s">
        <v>423</v>
      </c>
      <c r="P5" s="247" t="s">
        <v>342</v>
      </c>
      <c r="Q5" s="336" t="s">
        <v>155</v>
      </c>
      <c r="R5" s="247" t="s">
        <v>342</v>
      </c>
      <c r="S5" s="490"/>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c r="IV5" s="93"/>
      <c r="IW5" s="93"/>
      <c r="IX5" s="93"/>
    </row>
    <row r="6" spans="1:258" ht="13.5" thickBot="1">
      <c r="A6" s="248"/>
      <c r="B6" s="249"/>
      <c r="C6" s="250"/>
      <c r="D6" s="251"/>
      <c r="E6" s="250"/>
      <c r="F6" s="250"/>
      <c r="G6" s="250"/>
      <c r="H6" s="250"/>
      <c r="I6" s="250"/>
      <c r="J6" s="250"/>
      <c r="K6" s="251"/>
      <c r="L6" s="252" t="s">
        <v>334</v>
      </c>
      <c r="M6" s="276">
        <f>SUM(M7:M37)</f>
        <v>0</v>
      </c>
      <c r="N6" s="277"/>
      <c r="O6" s="278"/>
      <c r="P6" s="276">
        <f>SUM(P7:P37)</f>
        <v>0</v>
      </c>
      <c r="Q6" s="277"/>
      <c r="R6" s="276">
        <f>SUM(R7:R37)</f>
        <v>0</v>
      </c>
      <c r="S6" s="118">
        <f>SUM(S7:S37)</f>
        <v>0</v>
      </c>
    </row>
    <row r="7" spans="1:258" ht="15.75" customHeight="1">
      <c r="A7" s="49"/>
      <c r="B7" s="94" t="str">
        <f>IF(ISBLANK(A7),"",VLOOKUP(A7,Management!$A$6:$C$20,2,0))</f>
        <v/>
      </c>
      <c r="C7" s="79"/>
      <c r="D7" s="101"/>
      <c r="E7" s="79"/>
      <c r="F7" s="333"/>
      <c r="G7" s="181" t="str">
        <f>IF(ISBLANK($D7),"","days")</f>
        <v/>
      </c>
      <c r="H7" s="172"/>
      <c r="I7" s="333"/>
      <c r="J7" s="181" t="str">
        <f>IF(ISBLANK($D7),"","days")</f>
        <v/>
      </c>
      <c r="K7" s="124"/>
      <c r="L7" s="127"/>
      <c r="M7" s="279" t="str">
        <f>IF(ISBLANK(L7),"",SUM(E7,H7)*VLOOKUP(L7,Ceilings!$X$4:$Y$5,2,0))</f>
        <v/>
      </c>
      <c r="N7" s="280" t="str">
        <f>IF(OR(ISBLANK($D7),ISBLANK($K7)),"",IF(LEFT($D7,18)="Long-term teaching",VLOOKUP($K7,Subsistence,2,0)*14+VLOOKUP($K7,Subsistence,3,0)*46+IF($F7&gt;60,VLOOKUP($K7,Subsistence,4,0)*($F7-60),0),IF(LEFT($D7,18)="Short-term blended",IF($F7&lt;15,Ceilings!$S$6*$F7,Ceilings!$S$6*14+Ceilings!$S$7*($F7-14)),IF($F7&lt;15,Ceilings!$S$3*$F7,Ceilings!$S$3*14+Ceilings!$S$4*($F7-14)))))</f>
        <v/>
      </c>
      <c r="O7" s="281" t="str">
        <f>IF(OR(ISBLANK(D7),ISBLANK(H7),ISBLANK(K7)),"",IF(I7&lt;15,Ceilings!$S$3*I7,Ceilings!$S$3*14+Ceilings!$S$4*(I7-14)))</f>
        <v/>
      </c>
      <c r="P7" s="279" t="str">
        <f>IF(N7="","",$E7*N7+IF(O7="",0,$H7*O7))</f>
        <v/>
      </c>
      <c r="Q7" s="172"/>
      <c r="R7" s="279" t="str">
        <f>IF(OR(ISBLANK($D7),ISBLANK($K7),ISBLANK(Q7)),"",Ceilings!$V$3*Q7)</f>
        <v/>
      </c>
      <c r="S7" s="270" t="str">
        <f>IF(ISBLANK($A7),"",IF(OR(ISBLANK($C7),ISBLANK($D7),ISBLANK($E7),ISBLANK($K7)),"Missing data",IF($B7=$K7,"Same country",SUM($M7,$P7,$R7))))</f>
        <v/>
      </c>
    </row>
    <row r="8" spans="1:258" ht="15.75" customHeight="1">
      <c r="A8" s="52"/>
      <c r="B8" s="95" t="str">
        <f>IF(ISBLANK(A8),"",VLOOKUP(A8,Management!$A$6:$C$20,2,0))</f>
        <v/>
      </c>
      <c r="C8" s="81"/>
      <c r="D8" s="102"/>
      <c r="E8" s="81"/>
      <c r="F8" s="334"/>
      <c r="G8" s="182" t="str">
        <f t="shared" ref="G8:G37" si="0">IF(ISBLANK($D8),"","days")</f>
        <v/>
      </c>
      <c r="H8" s="173"/>
      <c r="I8" s="334"/>
      <c r="J8" s="182" t="str">
        <f t="shared" ref="J8:J37" si="1">IF(ISBLANK($D8),"","days")</f>
        <v/>
      </c>
      <c r="K8" s="125"/>
      <c r="L8" s="128"/>
      <c r="M8" s="282" t="str">
        <f>IF(ISBLANK(L8),"",SUM(E8,H8)*VLOOKUP(L8,Ceilings!$X$4:$Y$5,2,0))</f>
        <v/>
      </c>
      <c r="N8" s="283" t="str">
        <f>IF(OR(ISBLANK($D8),ISBLANK($K8)),"",IF(LEFT($D8,18)="Long-term teaching",VLOOKUP($K8,Subsistence,2,0)*14+VLOOKUP($K8,Subsistence,3,0)*46+IF($F8&gt;60,VLOOKUP($K8,Subsistence,4,0)*($F8-60),0),IF(LEFT($D8,18)="Short-term blended",IF($F8&lt;15,Ceilings!$S$6*$F8,Ceilings!$S$6*14+Ceilings!$S$7*($F8-14)),IF($F8&lt;15,Ceilings!$S$3*$F8,Ceilings!$S$3*14+Ceilings!$S$4*($F8-14)))))</f>
        <v/>
      </c>
      <c r="O8" s="284" t="str">
        <f>IF(OR(ISBLANK(D8),ISBLANK(H8),ISBLANK(K8)),"",IF(I8&lt;15,Ceilings!$S$3*I8,Ceilings!$S$3*14+Ceilings!$S$4*(I8-14)))</f>
        <v/>
      </c>
      <c r="P8" s="282" t="str">
        <f t="shared" ref="P8:P37" si="2">IF(N8="","",$E8*N8+IF(O8="",0,$H8*O8))</f>
        <v/>
      </c>
      <c r="Q8" s="173"/>
      <c r="R8" s="282" t="str">
        <f>IF(OR(ISBLANK($D8),ISBLANK($K8),ISBLANK(Q8)),"",Ceilings!$V$3*Q8)</f>
        <v/>
      </c>
      <c r="S8" s="116" t="str">
        <f t="shared" ref="S8:S37" si="3">IF(ISBLANK($A8),"",IF(OR(ISBLANK($C8),ISBLANK($D8),ISBLANK($E8),ISBLANK($K8)),"Missing data",IF($B8=$K8,"Same country",SUM($M8,$P8,$R8))))</f>
        <v/>
      </c>
    </row>
    <row r="9" spans="1:258" ht="15.75" customHeight="1">
      <c r="A9" s="52"/>
      <c r="B9" s="95" t="str">
        <f>IF(ISBLANK(A9),"",VLOOKUP(A9,Management!$A$6:$C$20,2,0))</f>
        <v/>
      </c>
      <c r="C9" s="81"/>
      <c r="D9" s="102"/>
      <c r="E9" s="81"/>
      <c r="F9" s="334"/>
      <c r="G9" s="182" t="str">
        <f t="shared" si="0"/>
        <v/>
      </c>
      <c r="H9" s="173"/>
      <c r="I9" s="334"/>
      <c r="J9" s="182" t="str">
        <f t="shared" si="1"/>
        <v/>
      </c>
      <c r="K9" s="125"/>
      <c r="L9" s="128"/>
      <c r="M9" s="282" t="str">
        <f>IF(ISBLANK(L9),"",SUM(E9,H9)*VLOOKUP(L9,Ceilings!$X$4:$Y$5,2,0))</f>
        <v/>
      </c>
      <c r="N9" s="283" t="str">
        <f>IF(OR(ISBLANK($D9),ISBLANK($K9)),"",IF(LEFT($D9,18)="Long-term teaching",VLOOKUP($K9,Subsistence,2,0)*14+VLOOKUP($K9,Subsistence,3,0)*46+IF($F9&gt;60,VLOOKUP($K9,Subsistence,4,0)*($F9-60),0),IF(LEFT($D9,18)="Short-term blended",IF($F9&lt;15,Ceilings!$S$6*$F9,Ceilings!$S$6*14+Ceilings!$S$7*($F9-14)),IF($F9&lt;15,Ceilings!$S$3*$F9,Ceilings!$S$3*14+Ceilings!$S$4*($F9-14)))))</f>
        <v/>
      </c>
      <c r="O9" s="284" t="str">
        <f>IF(OR(ISBLANK(D9),ISBLANK(H9),ISBLANK(K9)),"",IF(I9&lt;15,Ceilings!$S$3*I9,Ceilings!$S$3*14+Ceilings!$S$4*(I9-14)))</f>
        <v/>
      </c>
      <c r="P9" s="282" t="str">
        <f t="shared" si="2"/>
        <v/>
      </c>
      <c r="Q9" s="173"/>
      <c r="R9" s="282" t="str">
        <f>IF(OR(ISBLANK($D9),ISBLANK($K9),ISBLANK(Q9)),"",Ceilings!$V$3*Q9)</f>
        <v/>
      </c>
      <c r="S9" s="116" t="str">
        <f t="shared" si="3"/>
        <v/>
      </c>
    </row>
    <row r="10" spans="1:258" ht="15.75" customHeight="1">
      <c r="A10" s="52"/>
      <c r="B10" s="95" t="str">
        <f>IF(ISBLANK(A10),"",VLOOKUP(A10,Management!$A$6:$C$20,2,0))</f>
        <v/>
      </c>
      <c r="C10" s="81"/>
      <c r="D10" s="102"/>
      <c r="E10" s="81"/>
      <c r="F10" s="334"/>
      <c r="G10" s="182" t="str">
        <f t="shared" si="0"/>
        <v/>
      </c>
      <c r="H10" s="173"/>
      <c r="I10" s="334"/>
      <c r="J10" s="182" t="str">
        <f t="shared" si="1"/>
        <v/>
      </c>
      <c r="K10" s="125"/>
      <c r="L10" s="128"/>
      <c r="M10" s="282" t="str">
        <f>IF(ISBLANK(L10),"",SUM(E10,H10)*VLOOKUP(L10,Ceilings!$X$4:$Y$5,2,0))</f>
        <v/>
      </c>
      <c r="N10" s="283" t="str">
        <f>IF(OR(ISBLANK($D10),ISBLANK($K10)),"",IF(LEFT($D10,18)="Long-term teaching",VLOOKUP($K10,Subsistence,2,0)*14+VLOOKUP($K10,Subsistence,3,0)*46+IF($F10&gt;60,VLOOKUP($K10,Subsistence,4,0)*($F10-60),0),IF(LEFT($D10,18)="Short-term blended",IF($F10&lt;15,Ceilings!$S$6*$F10,Ceilings!$S$6*14+Ceilings!$S$7*($F10-14)),IF($F10&lt;15,Ceilings!$S$3*$F10,Ceilings!$S$3*14+Ceilings!$S$4*($F10-14)))))</f>
        <v/>
      </c>
      <c r="O10" s="284" t="str">
        <f>IF(OR(ISBLANK(D10),ISBLANK(H10),ISBLANK(K10)),"",IF(I10&lt;15,Ceilings!$S$3*I10,Ceilings!$S$3*14+Ceilings!$S$4*(I10-14)))</f>
        <v/>
      </c>
      <c r="P10" s="282" t="str">
        <f t="shared" si="2"/>
        <v/>
      </c>
      <c r="Q10" s="173"/>
      <c r="R10" s="282" t="str">
        <f>IF(OR(ISBLANK($D10),ISBLANK($K10),ISBLANK(Q10)),"",Ceilings!$V$3*Q10)</f>
        <v/>
      </c>
      <c r="S10" s="116" t="str">
        <f t="shared" si="3"/>
        <v/>
      </c>
    </row>
    <row r="11" spans="1:258" ht="15.75" customHeight="1">
      <c r="A11" s="52"/>
      <c r="B11" s="95" t="str">
        <f>IF(ISBLANK(A11),"",VLOOKUP(A11,Management!$A$6:$C$20,2,0))</f>
        <v/>
      </c>
      <c r="C11" s="81"/>
      <c r="D11" s="102"/>
      <c r="E11" s="81"/>
      <c r="F11" s="334"/>
      <c r="G11" s="182" t="str">
        <f t="shared" si="0"/>
        <v/>
      </c>
      <c r="H11" s="173"/>
      <c r="I11" s="334"/>
      <c r="J11" s="182" t="str">
        <f t="shared" si="1"/>
        <v/>
      </c>
      <c r="K11" s="125"/>
      <c r="L11" s="128"/>
      <c r="M11" s="282" t="str">
        <f>IF(ISBLANK(L11),"",SUM(E11,H11)*VLOOKUP(L11,Ceilings!$X$4:$Y$5,2,0))</f>
        <v/>
      </c>
      <c r="N11" s="283" t="str">
        <f>IF(OR(ISBLANK($D11),ISBLANK($K11)),"",IF(LEFT($D11,18)="Long-term teaching",VLOOKUP($K11,Subsistence,2,0)*14+VLOOKUP($K11,Subsistence,3,0)*46+IF($F11&gt;60,VLOOKUP($K11,Subsistence,4,0)*($F11-60),0),IF(LEFT($D11,18)="Short-term blended",IF($F11&lt;15,Ceilings!$S$6*$F11,Ceilings!$S$6*14+Ceilings!$S$7*($F11-14)),IF($F11&lt;15,Ceilings!$S$3*$F11,Ceilings!$S$3*14+Ceilings!$S$4*($F11-14)))))</f>
        <v/>
      </c>
      <c r="O11" s="284" t="str">
        <f>IF(OR(ISBLANK(D11),ISBLANK(H11),ISBLANK(K11)),"",IF(I11&lt;15,Ceilings!$S$3*I11,Ceilings!$S$3*14+Ceilings!$S$4*(I11-14)))</f>
        <v/>
      </c>
      <c r="P11" s="282" t="str">
        <f t="shared" si="2"/>
        <v/>
      </c>
      <c r="Q11" s="173"/>
      <c r="R11" s="282" t="str">
        <f>IF(OR(ISBLANK($D11),ISBLANK($K11),ISBLANK(Q11)),"",Ceilings!$V$3*Q11)</f>
        <v/>
      </c>
      <c r="S11" s="116" t="str">
        <f t="shared" si="3"/>
        <v/>
      </c>
    </row>
    <row r="12" spans="1:258" ht="15.75" customHeight="1">
      <c r="A12" s="52"/>
      <c r="B12" s="95" t="str">
        <f>IF(ISBLANK(A12),"",VLOOKUP(A12,Management!$A$6:$C$20,2,0))</f>
        <v/>
      </c>
      <c r="C12" s="81"/>
      <c r="D12" s="102"/>
      <c r="E12" s="81"/>
      <c r="F12" s="334"/>
      <c r="G12" s="182" t="str">
        <f t="shared" si="0"/>
        <v/>
      </c>
      <c r="H12" s="173"/>
      <c r="I12" s="334"/>
      <c r="J12" s="182" t="str">
        <f t="shared" si="1"/>
        <v/>
      </c>
      <c r="K12" s="125"/>
      <c r="L12" s="128"/>
      <c r="M12" s="282" t="str">
        <f>IF(ISBLANK(L12),"",SUM(E12,H12)*VLOOKUP(L12,Ceilings!$X$4:$Y$5,2,0))</f>
        <v/>
      </c>
      <c r="N12" s="283" t="str">
        <f>IF(OR(ISBLANK($D12),ISBLANK($K12)),"",IF(LEFT($D12,18)="Long-term teaching",VLOOKUP($K12,Subsistence,2,0)*14+VLOOKUP($K12,Subsistence,3,0)*46+IF($F12&gt;60,VLOOKUP($K12,Subsistence,4,0)*($F12-60),0),IF(LEFT($D12,18)="Short-term blended",IF($F12&lt;15,Ceilings!$S$6*$F12,Ceilings!$S$6*14+Ceilings!$S$7*($F12-14)),IF($F12&lt;15,Ceilings!$S$3*$F12,Ceilings!$S$3*14+Ceilings!$S$4*($F12-14)))))</f>
        <v/>
      </c>
      <c r="O12" s="284" t="str">
        <f>IF(OR(ISBLANK(D12),ISBLANK(H12),ISBLANK(K12)),"",IF(I12&lt;15,Ceilings!$S$3*I12,Ceilings!$S$3*14+Ceilings!$S$4*(I12-14)))</f>
        <v/>
      </c>
      <c r="P12" s="282" t="str">
        <f t="shared" si="2"/>
        <v/>
      </c>
      <c r="Q12" s="173"/>
      <c r="R12" s="282" t="str">
        <f>IF(OR(ISBLANK($D12),ISBLANK($K12),ISBLANK(Q12)),"",Ceilings!$V$3*Q12)</f>
        <v/>
      </c>
      <c r="S12" s="116" t="str">
        <f t="shared" si="3"/>
        <v/>
      </c>
    </row>
    <row r="13" spans="1:258" ht="15.75" customHeight="1">
      <c r="A13" s="52"/>
      <c r="B13" s="95" t="str">
        <f>IF(ISBLANK(A13),"",VLOOKUP(A13,Management!$A$6:$C$20,2,0))</f>
        <v/>
      </c>
      <c r="C13" s="81"/>
      <c r="D13" s="102"/>
      <c r="E13" s="81"/>
      <c r="F13" s="334"/>
      <c r="G13" s="182" t="str">
        <f t="shared" si="0"/>
        <v/>
      </c>
      <c r="H13" s="173"/>
      <c r="I13" s="334"/>
      <c r="J13" s="182" t="str">
        <f t="shared" si="1"/>
        <v/>
      </c>
      <c r="K13" s="125"/>
      <c r="L13" s="128"/>
      <c r="M13" s="282" t="str">
        <f>IF(ISBLANK(L13),"",SUM(E13,H13)*VLOOKUP(L13,Ceilings!$X$4:$Y$5,2,0))</f>
        <v/>
      </c>
      <c r="N13" s="283" t="str">
        <f>IF(OR(ISBLANK($D13),ISBLANK($K13)),"",IF(LEFT($D13,18)="Long-term teaching",VLOOKUP($K13,Subsistence,2,0)*14+VLOOKUP($K13,Subsistence,3,0)*46+IF($F13&gt;60,VLOOKUP($K13,Subsistence,4,0)*($F13-60),0),IF(LEFT($D13,18)="Short-term blended",IF($F13&lt;15,Ceilings!$S$6*$F13,Ceilings!$S$6*14+Ceilings!$S$7*($F13-14)),IF($F13&lt;15,Ceilings!$S$3*$F13,Ceilings!$S$3*14+Ceilings!$S$4*($F13-14)))))</f>
        <v/>
      </c>
      <c r="O13" s="284" t="str">
        <f>IF(OR(ISBLANK(D13),ISBLANK(H13),ISBLANK(K13)),"",IF(I13&lt;15,Ceilings!$S$3*I13,Ceilings!$S$3*14+Ceilings!$S$4*(I13-14)))</f>
        <v/>
      </c>
      <c r="P13" s="282" t="str">
        <f t="shared" si="2"/>
        <v/>
      </c>
      <c r="Q13" s="173"/>
      <c r="R13" s="282" t="str">
        <f>IF(OR(ISBLANK($D13),ISBLANK($K13),ISBLANK(Q13)),"",Ceilings!$V$3*Q13)</f>
        <v/>
      </c>
      <c r="S13" s="116" t="str">
        <f t="shared" si="3"/>
        <v/>
      </c>
    </row>
    <row r="14" spans="1:258" ht="15.75" customHeight="1">
      <c r="A14" s="52"/>
      <c r="B14" s="95" t="str">
        <f>IF(ISBLANK(A14),"",VLOOKUP(A14,Management!$A$6:$C$20,2,0))</f>
        <v/>
      </c>
      <c r="C14" s="81"/>
      <c r="D14" s="102"/>
      <c r="E14" s="81"/>
      <c r="F14" s="334"/>
      <c r="G14" s="182" t="str">
        <f t="shared" si="0"/>
        <v/>
      </c>
      <c r="H14" s="173"/>
      <c r="I14" s="334"/>
      <c r="J14" s="182" t="str">
        <f t="shared" si="1"/>
        <v/>
      </c>
      <c r="K14" s="125"/>
      <c r="L14" s="128"/>
      <c r="M14" s="282" t="str">
        <f>IF(ISBLANK(L14),"",SUM(E14,H14)*VLOOKUP(L14,Ceilings!$X$4:$Y$5,2,0))</f>
        <v/>
      </c>
      <c r="N14" s="283" t="str">
        <f>IF(OR(ISBLANK($D14),ISBLANK($K14)),"",IF(LEFT($D14,18)="Long-term teaching",VLOOKUP($K14,Subsistence,2,0)*14+VLOOKUP($K14,Subsistence,3,0)*46+IF($F14&gt;60,VLOOKUP($K14,Subsistence,4,0)*($F14-60),0),IF(LEFT($D14,18)="Short-term blended",IF($F14&lt;15,Ceilings!$S$6*$F14,Ceilings!$S$6*14+Ceilings!$S$7*($F14-14)),IF($F14&lt;15,Ceilings!$S$3*$F14,Ceilings!$S$3*14+Ceilings!$S$4*($F14-14)))))</f>
        <v/>
      </c>
      <c r="O14" s="284" t="str">
        <f>IF(OR(ISBLANK(D14),ISBLANK(H14),ISBLANK(K14)),"",IF(I14&lt;15,Ceilings!$S$3*I14,Ceilings!$S$3*14+Ceilings!$S$4*(I14-14)))</f>
        <v/>
      </c>
      <c r="P14" s="282" t="str">
        <f t="shared" si="2"/>
        <v/>
      </c>
      <c r="Q14" s="173"/>
      <c r="R14" s="282" t="str">
        <f>IF(OR(ISBLANK($D14),ISBLANK($K14),ISBLANK(Q14)),"",Ceilings!$V$3*Q14)</f>
        <v/>
      </c>
      <c r="S14" s="116" t="str">
        <f t="shared" si="3"/>
        <v/>
      </c>
    </row>
    <row r="15" spans="1:258" ht="15.75" customHeight="1">
      <c r="A15" s="52"/>
      <c r="B15" s="95" t="str">
        <f>IF(ISBLANK(A15),"",VLOOKUP(A15,Management!$A$6:$C$20,2,0))</f>
        <v/>
      </c>
      <c r="C15" s="81"/>
      <c r="D15" s="102"/>
      <c r="E15" s="81"/>
      <c r="F15" s="334"/>
      <c r="G15" s="182" t="str">
        <f t="shared" si="0"/>
        <v/>
      </c>
      <c r="H15" s="173"/>
      <c r="I15" s="334"/>
      <c r="J15" s="182" t="str">
        <f t="shared" si="1"/>
        <v/>
      </c>
      <c r="K15" s="125"/>
      <c r="L15" s="128"/>
      <c r="M15" s="282" t="str">
        <f>IF(ISBLANK(L15),"",SUM(E15,H15)*VLOOKUP(L15,Ceilings!$X$4:$Y$5,2,0))</f>
        <v/>
      </c>
      <c r="N15" s="283" t="str">
        <f>IF(OR(ISBLANK($D15),ISBLANK($K15)),"",IF(LEFT($D15,18)="Long-term teaching",VLOOKUP($K15,Subsistence,2,0)*14+VLOOKUP($K15,Subsistence,3,0)*46+IF($F15&gt;60,VLOOKUP($K15,Subsistence,4,0)*($F15-60),0),IF(LEFT($D15,18)="Short-term blended",IF($F15&lt;15,Ceilings!$S$6*$F15,Ceilings!$S$6*14+Ceilings!$S$7*($F15-14)),IF($F15&lt;15,Ceilings!$S$3*$F15,Ceilings!$S$3*14+Ceilings!$S$4*($F15-14)))))</f>
        <v/>
      </c>
      <c r="O15" s="284" t="str">
        <f>IF(OR(ISBLANK(D15),ISBLANK(H15),ISBLANK(K15)),"",IF(I15&lt;15,Ceilings!$S$3*I15,Ceilings!$S$3*14+Ceilings!$S$4*(I15-14)))</f>
        <v/>
      </c>
      <c r="P15" s="282" t="str">
        <f t="shared" si="2"/>
        <v/>
      </c>
      <c r="Q15" s="173"/>
      <c r="R15" s="282" t="str">
        <f>IF(OR(ISBLANK($D15),ISBLANK($K15),ISBLANK(Q15)),"",Ceilings!$V$3*Q15)</f>
        <v/>
      </c>
      <c r="S15" s="116" t="str">
        <f t="shared" si="3"/>
        <v/>
      </c>
    </row>
    <row r="16" spans="1:258" ht="15.75" customHeight="1">
      <c r="A16" s="52"/>
      <c r="B16" s="95" t="str">
        <f>IF(ISBLANK(A16),"",VLOOKUP(A16,Management!$A$6:$C$20,2,0))</f>
        <v/>
      </c>
      <c r="C16" s="81"/>
      <c r="D16" s="102"/>
      <c r="E16" s="81"/>
      <c r="F16" s="334"/>
      <c r="G16" s="182" t="str">
        <f t="shared" si="0"/>
        <v/>
      </c>
      <c r="H16" s="173"/>
      <c r="I16" s="334"/>
      <c r="J16" s="182" t="str">
        <f t="shared" si="1"/>
        <v/>
      </c>
      <c r="K16" s="125"/>
      <c r="L16" s="128"/>
      <c r="M16" s="282" t="str">
        <f>IF(ISBLANK(L16),"",SUM(E16,H16)*VLOOKUP(L16,Ceilings!$X$4:$Y$5,2,0))</f>
        <v/>
      </c>
      <c r="N16" s="283" t="str">
        <f>IF(OR(ISBLANK($D16),ISBLANK($K16)),"",IF(LEFT($D16,18)="Long-term teaching",VLOOKUP($K16,Subsistence,2,0)*14+VLOOKUP($K16,Subsistence,3,0)*46+IF($F16&gt;60,VLOOKUP($K16,Subsistence,4,0)*($F16-60),0),IF(LEFT($D16,18)="Short-term blended",IF($F16&lt;15,Ceilings!$S$6*$F16,Ceilings!$S$6*14+Ceilings!$S$7*($F16-14)),IF($F16&lt;15,Ceilings!$S$3*$F16,Ceilings!$S$3*14+Ceilings!$S$4*($F16-14)))))</f>
        <v/>
      </c>
      <c r="O16" s="284" t="str">
        <f>IF(OR(ISBLANK(D16),ISBLANK(H16),ISBLANK(K16)),"",IF(I16&lt;15,Ceilings!$S$3*I16,Ceilings!$S$3*14+Ceilings!$S$4*(I16-14)))</f>
        <v/>
      </c>
      <c r="P16" s="282" t="str">
        <f t="shared" si="2"/>
        <v/>
      </c>
      <c r="Q16" s="173"/>
      <c r="R16" s="282" t="str">
        <f>IF(OR(ISBLANK($D16),ISBLANK($K16),ISBLANK(Q16)),"",Ceilings!$V$3*Q16)</f>
        <v/>
      </c>
      <c r="S16" s="116" t="str">
        <f t="shared" si="3"/>
        <v/>
      </c>
    </row>
    <row r="17" spans="1:19" ht="15.75" customHeight="1">
      <c r="A17" s="52"/>
      <c r="B17" s="95" t="str">
        <f>IF(ISBLANK(A17),"",VLOOKUP(A17,Management!$A$6:$C$20,2,0))</f>
        <v/>
      </c>
      <c r="C17" s="81"/>
      <c r="D17" s="102"/>
      <c r="E17" s="81"/>
      <c r="F17" s="334"/>
      <c r="G17" s="182" t="str">
        <f t="shared" si="0"/>
        <v/>
      </c>
      <c r="H17" s="173"/>
      <c r="I17" s="334"/>
      <c r="J17" s="182" t="str">
        <f t="shared" si="1"/>
        <v/>
      </c>
      <c r="K17" s="125"/>
      <c r="L17" s="128"/>
      <c r="M17" s="282" t="str">
        <f>IF(ISBLANK(L17),"",SUM(E17,H17)*VLOOKUP(L17,Ceilings!$X$4:$Y$5,2,0))</f>
        <v/>
      </c>
      <c r="N17" s="283" t="str">
        <f>IF(OR(ISBLANK($D17),ISBLANK($K17)),"",IF(LEFT($D17,18)="Long-term teaching",VLOOKUP($K17,Subsistence,2,0)*14+VLOOKUP($K17,Subsistence,3,0)*46+IF($F17&gt;60,VLOOKUP($K17,Subsistence,4,0)*($F17-60),0),IF(LEFT($D17,18)="Short-term blended",IF($F17&lt;15,Ceilings!$S$6*$F17,Ceilings!$S$6*14+Ceilings!$S$7*($F17-14)),IF($F17&lt;15,Ceilings!$S$3*$F17,Ceilings!$S$3*14+Ceilings!$S$4*($F17-14)))))</f>
        <v/>
      </c>
      <c r="O17" s="284" t="str">
        <f>IF(OR(ISBLANK(D17),ISBLANK(H17),ISBLANK(K17)),"",IF(I17&lt;15,Ceilings!$S$3*I17,Ceilings!$S$3*14+Ceilings!$S$4*(I17-14)))</f>
        <v/>
      </c>
      <c r="P17" s="282" t="str">
        <f t="shared" si="2"/>
        <v/>
      </c>
      <c r="Q17" s="173"/>
      <c r="R17" s="282" t="str">
        <f>IF(OR(ISBLANK($D17),ISBLANK($K17),ISBLANK(Q17)),"",Ceilings!$V$3*Q17)</f>
        <v/>
      </c>
      <c r="S17" s="116" t="str">
        <f t="shared" si="3"/>
        <v/>
      </c>
    </row>
    <row r="18" spans="1:19" ht="15.75" customHeight="1">
      <c r="A18" s="52"/>
      <c r="B18" s="95" t="str">
        <f>IF(ISBLANK(A18),"",VLOOKUP(A18,Management!$A$6:$C$20,2,0))</f>
        <v/>
      </c>
      <c r="C18" s="81"/>
      <c r="D18" s="102"/>
      <c r="E18" s="81"/>
      <c r="F18" s="334"/>
      <c r="G18" s="182" t="str">
        <f t="shared" si="0"/>
        <v/>
      </c>
      <c r="H18" s="173"/>
      <c r="I18" s="334"/>
      <c r="J18" s="182" t="str">
        <f t="shared" si="1"/>
        <v/>
      </c>
      <c r="K18" s="125"/>
      <c r="L18" s="128"/>
      <c r="M18" s="282" t="str">
        <f>IF(ISBLANK(L18),"",SUM(E18,H18)*VLOOKUP(L18,Ceilings!$X$4:$Y$5,2,0))</f>
        <v/>
      </c>
      <c r="N18" s="283" t="str">
        <f>IF(OR(ISBLANK($D18),ISBLANK($K18)),"",IF(LEFT($D18,18)="Long-term teaching",VLOOKUP($K18,Subsistence,2,0)*14+VLOOKUP($K18,Subsistence,3,0)*46+IF($F18&gt;60,VLOOKUP($K18,Subsistence,4,0)*($F18-60),0),IF(LEFT($D18,18)="Short-term blended",IF($F18&lt;15,Ceilings!$S$6*$F18,Ceilings!$S$6*14+Ceilings!$S$7*($F18-14)),IF($F18&lt;15,Ceilings!$S$3*$F18,Ceilings!$S$3*14+Ceilings!$S$4*($F18-14)))))</f>
        <v/>
      </c>
      <c r="O18" s="284" t="str">
        <f>IF(OR(ISBLANK(D18),ISBLANK(H18),ISBLANK(K18)),"",IF(I18&lt;15,Ceilings!$S$3*I18,Ceilings!$S$3*14+Ceilings!$S$4*(I18-14)))</f>
        <v/>
      </c>
      <c r="P18" s="282" t="str">
        <f t="shared" si="2"/>
        <v/>
      </c>
      <c r="Q18" s="173"/>
      <c r="R18" s="282" t="str">
        <f>IF(OR(ISBLANK($D18),ISBLANK($K18),ISBLANK(Q18)),"",Ceilings!$V$3*Q18)</f>
        <v/>
      </c>
      <c r="S18" s="116" t="str">
        <f t="shared" si="3"/>
        <v/>
      </c>
    </row>
    <row r="19" spans="1:19" ht="15.75" customHeight="1">
      <c r="A19" s="52"/>
      <c r="B19" s="95" t="str">
        <f>IF(ISBLANK(A19),"",VLOOKUP(A19,Management!$A$6:$C$20,2,0))</f>
        <v/>
      </c>
      <c r="C19" s="81"/>
      <c r="D19" s="102"/>
      <c r="E19" s="81"/>
      <c r="F19" s="334"/>
      <c r="G19" s="182" t="str">
        <f t="shared" si="0"/>
        <v/>
      </c>
      <c r="H19" s="173"/>
      <c r="I19" s="334"/>
      <c r="J19" s="182" t="str">
        <f t="shared" si="1"/>
        <v/>
      </c>
      <c r="K19" s="125"/>
      <c r="L19" s="128"/>
      <c r="M19" s="282" t="str">
        <f>IF(ISBLANK(L19),"",SUM(E19,H19)*VLOOKUP(L19,Ceilings!$X$4:$Y$5,2,0))</f>
        <v/>
      </c>
      <c r="N19" s="283" t="str">
        <f>IF(OR(ISBLANK($D19),ISBLANK($K19)),"",IF(LEFT($D19,18)="Long-term teaching",VLOOKUP($K19,Subsistence,2,0)*14+VLOOKUP($K19,Subsistence,3,0)*46+IF($F19&gt;60,VLOOKUP($K19,Subsistence,4,0)*($F19-60),0),IF(LEFT($D19,18)="Short-term blended",IF($F19&lt;15,Ceilings!$S$6*$F19,Ceilings!$S$6*14+Ceilings!$S$7*($F19-14)),IF($F19&lt;15,Ceilings!$S$3*$F19,Ceilings!$S$3*14+Ceilings!$S$4*($F19-14)))))</f>
        <v/>
      </c>
      <c r="O19" s="284" t="str">
        <f>IF(OR(ISBLANK(D19),ISBLANK(H19),ISBLANK(K19)),"",IF(I19&lt;15,Ceilings!$S$3*I19,Ceilings!$S$3*14+Ceilings!$S$4*(I19-14)))</f>
        <v/>
      </c>
      <c r="P19" s="282" t="str">
        <f t="shared" si="2"/>
        <v/>
      </c>
      <c r="Q19" s="173"/>
      <c r="R19" s="282" t="str">
        <f>IF(OR(ISBLANK($D19),ISBLANK($K19),ISBLANK(Q19)),"",Ceilings!$V$3*Q19)</f>
        <v/>
      </c>
      <c r="S19" s="116" t="str">
        <f t="shared" si="3"/>
        <v/>
      </c>
    </row>
    <row r="20" spans="1:19" ht="15.75" customHeight="1">
      <c r="A20" s="52"/>
      <c r="B20" s="95" t="str">
        <f>IF(ISBLANK(A20),"",VLOOKUP(A20,Management!$A$6:$C$20,2,0))</f>
        <v/>
      </c>
      <c r="C20" s="81"/>
      <c r="D20" s="102"/>
      <c r="E20" s="81"/>
      <c r="F20" s="334"/>
      <c r="G20" s="182" t="str">
        <f t="shared" si="0"/>
        <v/>
      </c>
      <c r="H20" s="173"/>
      <c r="I20" s="334"/>
      <c r="J20" s="182" t="str">
        <f t="shared" si="1"/>
        <v/>
      </c>
      <c r="K20" s="125"/>
      <c r="L20" s="128"/>
      <c r="M20" s="282" t="str">
        <f>IF(ISBLANK(L20),"",SUM(E20,H20)*VLOOKUP(L20,Ceilings!$X$4:$Y$5,2,0))</f>
        <v/>
      </c>
      <c r="N20" s="283" t="str">
        <f>IF(OR(ISBLANK($D20),ISBLANK($K20)),"",IF(LEFT($D20,18)="Long-term teaching",VLOOKUP($K20,Subsistence,2,0)*14+VLOOKUP($K20,Subsistence,3,0)*46+IF($F20&gt;60,VLOOKUP($K20,Subsistence,4,0)*($F20-60),0),IF(LEFT($D20,18)="Short-term blended",IF($F20&lt;15,Ceilings!$S$6*$F20,Ceilings!$S$6*14+Ceilings!$S$7*($F20-14)),IF($F20&lt;15,Ceilings!$S$3*$F20,Ceilings!$S$3*14+Ceilings!$S$4*($F20-14)))))</f>
        <v/>
      </c>
      <c r="O20" s="284" t="str">
        <f>IF(OR(ISBLANK(D20),ISBLANK(H20),ISBLANK(K20)),"",IF(I20&lt;15,Ceilings!$S$3*I20,Ceilings!$S$3*14+Ceilings!$S$4*(I20-14)))</f>
        <v/>
      </c>
      <c r="P20" s="282" t="str">
        <f t="shared" si="2"/>
        <v/>
      </c>
      <c r="Q20" s="173"/>
      <c r="R20" s="282" t="str">
        <f>IF(OR(ISBLANK($D20),ISBLANK($K20),ISBLANK(Q20)),"",Ceilings!$V$3*Q20)</f>
        <v/>
      </c>
      <c r="S20" s="116" t="str">
        <f t="shared" si="3"/>
        <v/>
      </c>
    </row>
    <row r="21" spans="1:19" ht="15.75" customHeight="1">
      <c r="A21" s="52"/>
      <c r="B21" s="95" t="str">
        <f>IF(ISBLANK(A21),"",VLOOKUP(A21,Management!$A$6:$C$20,2,0))</f>
        <v/>
      </c>
      <c r="C21" s="81"/>
      <c r="D21" s="102"/>
      <c r="E21" s="81"/>
      <c r="F21" s="334"/>
      <c r="G21" s="182" t="str">
        <f t="shared" si="0"/>
        <v/>
      </c>
      <c r="H21" s="173"/>
      <c r="I21" s="334"/>
      <c r="J21" s="182" t="str">
        <f t="shared" si="1"/>
        <v/>
      </c>
      <c r="K21" s="125"/>
      <c r="L21" s="128"/>
      <c r="M21" s="282" t="str">
        <f>IF(ISBLANK(L21),"",SUM(E21,H21)*VLOOKUP(L21,Ceilings!$X$4:$Y$5,2,0))</f>
        <v/>
      </c>
      <c r="N21" s="283" t="str">
        <f>IF(OR(ISBLANK($D21),ISBLANK($K21)),"",IF(LEFT($D21,18)="Long-term teaching",VLOOKUP($K21,Subsistence,2,0)*14+VLOOKUP($K21,Subsistence,3,0)*46+IF($F21&gt;60,VLOOKUP($K21,Subsistence,4,0)*($F21-60),0),IF(LEFT($D21,18)="Short-term blended",IF($F21&lt;15,Ceilings!$S$6*$F21,Ceilings!$S$6*14+Ceilings!$S$7*($F21-14)),IF($F21&lt;15,Ceilings!$S$3*$F21,Ceilings!$S$3*14+Ceilings!$S$4*($F21-14)))))</f>
        <v/>
      </c>
      <c r="O21" s="284" t="str">
        <f>IF(OR(ISBLANK(D21),ISBLANK(H21),ISBLANK(K21)),"",IF(I21&lt;15,Ceilings!$S$3*I21,Ceilings!$S$3*14+Ceilings!$S$4*(I21-14)))</f>
        <v/>
      </c>
      <c r="P21" s="282" t="str">
        <f t="shared" si="2"/>
        <v/>
      </c>
      <c r="Q21" s="173"/>
      <c r="R21" s="282" t="str">
        <f>IF(OR(ISBLANK($D21),ISBLANK($K21),ISBLANK(Q21)),"",Ceilings!$V$3*Q21)</f>
        <v/>
      </c>
      <c r="S21" s="116" t="str">
        <f t="shared" si="3"/>
        <v/>
      </c>
    </row>
    <row r="22" spans="1:19" ht="15.75" customHeight="1">
      <c r="A22" s="52"/>
      <c r="B22" s="95" t="str">
        <f>IF(ISBLANK(A22),"",VLOOKUP(A22,Management!$A$6:$C$20,2,0))</f>
        <v/>
      </c>
      <c r="C22" s="81"/>
      <c r="D22" s="102"/>
      <c r="E22" s="81"/>
      <c r="F22" s="334"/>
      <c r="G22" s="182" t="str">
        <f t="shared" si="0"/>
        <v/>
      </c>
      <c r="H22" s="173"/>
      <c r="I22" s="334"/>
      <c r="J22" s="182" t="str">
        <f t="shared" si="1"/>
        <v/>
      </c>
      <c r="K22" s="125"/>
      <c r="L22" s="128"/>
      <c r="M22" s="282" t="str">
        <f>IF(ISBLANK(L22),"",SUM(E22,H22)*VLOOKUP(L22,Ceilings!$X$4:$Y$5,2,0))</f>
        <v/>
      </c>
      <c r="N22" s="283" t="str">
        <f>IF(OR(ISBLANK($D22),ISBLANK($K22)),"",IF(LEFT($D22,18)="Long-term teaching",VLOOKUP($K22,Subsistence,2,0)*14+VLOOKUP($K22,Subsistence,3,0)*46+IF($F22&gt;60,VLOOKUP($K22,Subsistence,4,0)*($F22-60),0),IF(LEFT($D22,18)="Short-term blended",IF($F22&lt;15,Ceilings!$S$6*$F22,Ceilings!$S$6*14+Ceilings!$S$7*($F22-14)),IF($F22&lt;15,Ceilings!$S$3*$F22,Ceilings!$S$3*14+Ceilings!$S$4*($F22-14)))))</f>
        <v/>
      </c>
      <c r="O22" s="284" t="str">
        <f>IF(OR(ISBLANK(D22),ISBLANK(H22),ISBLANK(K22)),"",IF(I22&lt;15,Ceilings!$S$3*I22,Ceilings!$S$3*14+Ceilings!$S$4*(I22-14)))</f>
        <v/>
      </c>
      <c r="P22" s="282" t="str">
        <f t="shared" si="2"/>
        <v/>
      </c>
      <c r="Q22" s="173"/>
      <c r="R22" s="282" t="str">
        <f>IF(OR(ISBLANK($D22),ISBLANK($K22),ISBLANK(Q22)),"",Ceilings!$V$3*Q22)</f>
        <v/>
      </c>
      <c r="S22" s="116" t="str">
        <f t="shared" si="3"/>
        <v/>
      </c>
    </row>
    <row r="23" spans="1:19" ht="15.75" customHeight="1">
      <c r="A23" s="52"/>
      <c r="B23" s="95" t="str">
        <f>IF(ISBLANK(A23),"",VLOOKUP(A23,Management!$A$6:$C$20,2,0))</f>
        <v/>
      </c>
      <c r="C23" s="81"/>
      <c r="D23" s="102"/>
      <c r="E23" s="81"/>
      <c r="F23" s="334"/>
      <c r="G23" s="182" t="str">
        <f t="shared" si="0"/>
        <v/>
      </c>
      <c r="H23" s="173"/>
      <c r="I23" s="334"/>
      <c r="J23" s="182" t="str">
        <f t="shared" si="1"/>
        <v/>
      </c>
      <c r="K23" s="125"/>
      <c r="L23" s="128"/>
      <c r="M23" s="282" t="str">
        <f>IF(ISBLANK(L23),"",SUM(E23,H23)*VLOOKUP(L23,Ceilings!$X$4:$Y$5,2,0))</f>
        <v/>
      </c>
      <c r="N23" s="283" t="str">
        <f>IF(OR(ISBLANK($D23),ISBLANK($K23)),"",IF(LEFT($D23,18)="Long-term teaching",VLOOKUP($K23,Subsistence,2,0)*14+VLOOKUP($K23,Subsistence,3,0)*46+IF($F23&gt;60,VLOOKUP($K23,Subsistence,4,0)*($F23-60),0),IF(LEFT($D23,18)="Short-term blended",IF($F23&lt;15,Ceilings!$S$6*$F23,Ceilings!$S$6*14+Ceilings!$S$7*($F23-14)),IF($F23&lt;15,Ceilings!$S$3*$F23,Ceilings!$S$3*14+Ceilings!$S$4*($F23-14)))))</f>
        <v/>
      </c>
      <c r="O23" s="284" t="str">
        <f>IF(OR(ISBLANK(D23),ISBLANK(H23),ISBLANK(K23)),"",IF(I23&lt;15,Ceilings!$S$3*I23,Ceilings!$S$3*14+Ceilings!$S$4*(I23-14)))</f>
        <v/>
      </c>
      <c r="P23" s="282" t="str">
        <f t="shared" si="2"/>
        <v/>
      </c>
      <c r="Q23" s="173"/>
      <c r="R23" s="282" t="str">
        <f>IF(OR(ISBLANK($D23),ISBLANK($K23),ISBLANK(Q23)),"",Ceilings!$V$3*Q23)</f>
        <v/>
      </c>
      <c r="S23" s="116" t="str">
        <f t="shared" si="3"/>
        <v/>
      </c>
    </row>
    <row r="24" spans="1:19" ht="15.75" customHeight="1">
      <c r="A24" s="52"/>
      <c r="B24" s="95" t="str">
        <f>IF(ISBLANK(A24),"",VLOOKUP(A24,Management!$A$6:$C$20,2,0))</f>
        <v/>
      </c>
      <c r="C24" s="81"/>
      <c r="D24" s="102"/>
      <c r="E24" s="81"/>
      <c r="F24" s="334"/>
      <c r="G24" s="182" t="str">
        <f t="shared" si="0"/>
        <v/>
      </c>
      <c r="H24" s="173"/>
      <c r="I24" s="334"/>
      <c r="J24" s="182" t="str">
        <f t="shared" si="1"/>
        <v/>
      </c>
      <c r="K24" s="125"/>
      <c r="L24" s="128"/>
      <c r="M24" s="282" t="str">
        <f>IF(ISBLANK(L24),"",SUM(E24,H24)*VLOOKUP(L24,Ceilings!$X$4:$Y$5,2,0))</f>
        <v/>
      </c>
      <c r="N24" s="283" t="str">
        <f>IF(OR(ISBLANK($D24),ISBLANK($K24)),"",IF(LEFT($D24,18)="Long-term teaching",VLOOKUP($K24,Subsistence,2,0)*14+VLOOKUP($K24,Subsistence,3,0)*46+IF($F24&gt;60,VLOOKUP($K24,Subsistence,4,0)*($F24-60),0),IF(LEFT($D24,18)="Short-term blended",IF($F24&lt;15,Ceilings!$S$6*$F24,Ceilings!$S$6*14+Ceilings!$S$7*($F24-14)),IF($F24&lt;15,Ceilings!$S$3*$F24,Ceilings!$S$3*14+Ceilings!$S$4*($F24-14)))))</f>
        <v/>
      </c>
      <c r="O24" s="284" t="str">
        <f>IF(OR(ISBLANK(D24),ISBLANK(H24),ISBLANK(K24)),"",IF(I24&lt;15,Ceilings!$S$3*I24,Ceilings!$S$3*14+Ceilings!$S$4*(I24-14)))</f>
        <v/>
      </c>
      <c r="P24" s="282" t="str">
        <f t="shared" si="2"/>
        <v/>
      </c>
      <c r="Q24" s="173"/>
      <c r="R24" s="282" t="str">
        <f>IF(OR(ISBLANK($D24),ISBLANK($K24),ISBLANK(Q24)),"",Ceilings!$V$3*Q24)</f>
        <v/>
      </c>
      <c r="S24" s="116" t="str">
        <f t="shared" si="3"/>
        <v/>
      </c>
    </row>
    <row r="25" spans="1:19" ht="15.75" customHeight="1">
      <c r="A25" s="52"/>
      <c r="B25" s="95" t="str">
        <f>IF(ISBLANK(A25),"",VLOOKUP(A25,Management!$A$6:$C$20,2,0))</f>
        <v/>
      </c>
      <c r="C25" s="81"/>
      <c r="D25" s="102"/>
      <c r="E25" s="81"/>
      <c r="F25" s="334"/>
      <c r="G25" s="182" t="str">
        <f t="shared" si="0"/>
        <v/>
      </c>
      <c r="H25" s="173"/>
      <c r="I25" s="334"/>
      <c r="J25" s="182" t="str">
        <f t="shared" si="1"/>
        <v/>
      </c>
      <c r="K25" s="125"/>
      <c r="L25" s="128"/>
      <c r="M25" s="282" t="str">
        <f>IF(ISBLANK(L25),"",SUM(E25,H25)*VLOOKUP(L25,Ceilings!$X$4:$Y$5,2,0))</f>
        <v/>
      </c>
      <c r="N25" s="283" t="str">
        <f>IF(OR(ISBLANK($D25),ISBLANK($K25)),"",IF(LEFT($D25,18)="Long-term teaching",VLOOKUP($K25,Subsistence,2,0)*14+VLOOKUP($K25,Subsistence,3,0)*46+IF($F25&gt;60,VLOOKUP($K25,Subsistence,4,0)*($F25-60),0),IF(LEFT($D25,18)="Short-term blended",IF($F25&lt;15,Ceilings!$S$6*$F25,Ceilings!$S$6*14+Ceilings!$S$7*($F25-14)),IF($F25&lt;15,Ceilings!$S$3*$F25,Ceilings!$S$3*14+Ceilings!$S$4*($F25-14)))))</f>
        <v/>
      </c>
      <c r="O25" s="284" t="str">
        <f>IF(OR(ISBLANK(D25),ISBLANK(H25),ISBLANK(K25)),"",IF(I25&lt;15,Ceilings!$S$3*I25,Ceilings!$S$3*14+Ceilings!$S$4*(I25-14)))</f>
        <v/>
      </c>
      <c r="P25" s="282" t="str">
        <f t="shared" si="2"/>
        <v/>
      </c>
      <c r="Q25" s="173"/>
      <c r="R25" s="282" t="str">
        <f>IF(OR(ISBLANK($D25),ISBLANK($K25),ISBLANK(Q25)),"",Ceilings!$V$3*Q25)</f>
        <v/>
      </c>
      <c r="S25" s="116" t="str">
        <f t="shared" si="3"/>
        <v/>
      </c>
    </row>
    <row r="26" spans="1:19" ht="15.75" customHeight="1">
      <c r="A26" s="52"/>
      <c r="B26" s="95" t="str">
        <f>IF(ISBLANK(A26),"",VLOOKUP(A26,Management!$A$6:$C$20,2,0))</f>
        <v/>
      </c>
      <c r="C26" s="81"/>
      <c r="D26" s="102"/>
      <c r="E26" s="81"/>
      <c r="F26" s="334"/>
      <c r="G26" s="182" t="str">
        <f t="shared" si="0"/>
        <v/>
      </c>
      <c r="H26" s="173"/>
      <c r="I26" s="334"/>
      <c r="J26" s="182" t="str">
        <f t="shared" si="1"/>
        <v/>
      </c>
      <c r="K26" s="125"/>
      <c r="L26" s="128"/>
      <c r="M26" s="282" t="str">
        <f>IF(ISBLANK(L26),"",SUM(E26,H26)*VLOOKUP(L26,Ceilings!$X$4:$Y$5,2,0))</f>
        <v/>
      </c>
      <c r="N26" s="283" t="str">
        <f>IF(OR(ISBLANK($D26),ISBLANK($K26)),"",IF(LEFT($D26,18)="Long-term teaching",VLOOKUP($K26,Subsistence,2,0)*14+VLOOKUP($K26,Subsistence,3,0)*46+IF($F26&gt;60,VLOOKUP($K26,Subsistence,4,0)*($F26-60),0),IF(LEFT($D26,18)="Short-term blended",IF($F26&lt;15,Ceilings!$S$6*$F26,Ceilings!$S$6*14+Ceilings!$S$7*($F26-14)),IF($F26&lt;15,Ceilings!$S$3*$F26,Ceilings!$S$3*14+Ceilings!$S$4*($F26-14)))))</f>
        <v/>
      </c>
      <c r="O26" s="284" t="str">
        <f>IF(OR(ISBLANK(D26),ISBLANK(H26),ISBLANK(K26)),"",IF(I26&lt;15,Ceilings!$S$3*I26,Ceilings!$S$3*14+Ceilings!$S$4*(I26-14)))</f>
        <v/>
      </c>
      <c r="P26" s="282" t="str">
        <f t="shared" si="2"/>
        <v/>
      </c>
      <c r="Q26" s="173"/>
      <c r="R26" s="282" t="str">
        <f>IF(OR(ISBLANK($D26),ISBLANK($K26),ISBLANK(Q26)),"",Ceilings!$V$3*Q26)</f>
        <v/>
      </c>
      <c r="S26" s="116" t="str">
        <f t="shared" si="3"/>
        <v/>
      </c>
    </row>
    <row r="27" spans="1:19" ht="15.75" customHeight="1">
      <c r="A27" s="52"/>
      <c r="B27" s="95" t="str">
        <f>IF(ISBLANK(A27),"",VLOOKUP(A27,Management!$A$6:$C$20,2,0))</f>
        <v/>
      </c>
      <c r="C27" s="81"/>
      <c r="D27" s="102"/>
      <c r="E27" s="81"/>
      <c r="F27" s="334"/>
      <c r="G27" s="182" t="str">
        <f t="shared" si="0"/>
        <v/>
      </c>
      <c r="H27" s="173"/>
      <c r="I27" s="334"/>
      <c r="J27" s="182" t="str">
        <f t="shared" si="1"/>
        <v/>
      </c>
      <c r="K27" s="125"/>
      <c r="L27" s="128"/>
      <c r="M27" s="282" t="str">
        <f>IF(ISBLANK(L27),"",SUM(E27,H27)*VLOOKUP(L27,Ceilings!$X$4:$Y$5,2,0))</f>
        <v/>
      </c>
      <c r="N27" s="283" t="str">
        <f>IF(OR(ISBLANK($D27),ISBLANK($K27)),"",IF(LEFT($D27,18)="Long-term teaching",VLOOKUP($K27,Subsistence,2,0)*14+VLOOKUP($K27,Subsistence,3,0)*46+IF($F27&gt;60,VLOOKUP($K27,Subsistence,4,0)*($F27-60),0),IF(LEFT($D27,18)="Short-term blended",IF($F27&lt;15,Ceilings!$S$6*$F27,Ceilings!$S$6*14+Ceilings!$S$7*($F27-14)),IF($F27&lt;15,Ceilings!$S$3*$F27,Ceilings!$S$3*14+Ceilings!$S$4*($F27-14)))))</f>
        <v/>
      </c>
      <c r="O27" s="284" t="str">
        <f>IF(OR(ISBLANK(D27),ISBLANK(H27),ISBLANK(K27)),"",IF(I27&lt;15,Ceilings!$S$3*I27,Ceilings!$S$3*14+Ceilings!$S$4*(I27-14)))</f>
        <v/>
      </c>
      <c r="P27" s="282" t="str">
        <f t="shared" si="2"/>
        <v/>
      </c>
      <c r="Q27" s="173"/>
      <c r="R27" s="282" t="str">
        <f>IF(OR(ISBLANK($D27),ISBLANK($K27),ISBLANK(Q27)),"",Ceilings!$V$3*Q27)</f>
        <v/>
      </c>
      <c r="S27" s="116" t="str">
        <f t="shared" si="3"/>
        <v/>
      </c>
    </row>
    <row r="28" spans="1:19" ht="15.75" customHeight="1">
      <c r="A28" s="52"/>
      <c r="B28" s="95" t="str">
        <f>IF(ISBLANK(A28),"",VLOOKUP(A28,Management!$A$6:$C$20,2,0))</f>
        <v/>
      </c>
      <c r="C28" s="81"/>
      <c r="D28" s="102"/>
      <c r="E28" s="81"/>
      <c r="F28" s="334"/>
      <c r="G28" s="182" t="str">
        <f t="shared" si="0"/>
        <v/>
      </c>
      <c r="H28" s="173"/>
      <c r="I28" s="334"/>
      <c r="J28" s="182" t="str">
        <f t="shared" si="1"/>
        <v/>
      </c>
      <c r="K28" s="125"/>
      <c r="L28" s="128"/>
      <c r="M28" s="282" t="str">
        <f>IF(ISBLANK(L28),"",SUM(E28,H28)*VLOOKUP(L28,Ceilings!$X$4:$Y$5,2,0))</f>
        <v/>
      </c>
      <c r="N28" s="283" t="str">
        <f>IF(OR(ISBLANK($D28),ISBLANK($K28)),"",IF(LEFT($D28,18)="Long-term teaching",VLOOKUP($K28,Subsistence,2,0)*14+VLOOKUP($K28,Subsistence,3,0)*46+IF($F28&gt;60,VLOOKUP($K28,Subsistence,4,0)*($F28-60),0),IF(LEFT($D28,18)="Short-term blended",IF($F28&lt;15,Ceilings!$S$6*$F28,Ceilings!$S$6*14+Ceilings!$S$7*($F28-14)),IF($F28&lt;15,Ceilings!$S$3*$F28,Ceilings!$S$3*14+Ceilings!$S$4*($F28-14)))))</f>
        <v/>
      </c>
      <c r="O28" s="284" t="str">
        <f>IF(OR(ISBLANK(D28),ISBLANK(H28),ISBLANK(K28)),"",IF(I28&lt;15,Ceilings!$S$3*I28,Ceilings!$S$3*14+Ceilings!$S$4*(I28-14)))</f>
        <v/>
      </c>
      <c r="P28" s="282" t="str">
        <f t="shared" si="2"/>
        <v/>
      </c>
      <c r="Q28" s="173"/>
      <c r="R28" s="282" t="str">
        <f>IF(OR(ISBLANK($D28),ISBLANK($K28),ISBLANK(Q28)),"",Ceilings!$V$3*Q28)</f>
        <v/>
      </c>
      <c r="S28" s="116" t="str">
        <f t="shared" si="3"/>
        <v/>
      </c>
    </row>
    <row r="29" spans="1:19" ht="15.75" customHeight="1">
      <c r="A29" s="52"/>
      <c r="B29" s="95" t="str">
        <f>IF(ISBLANK(A29),"",VLOOKUP(A29,Management!$A$6:$C$20,2,0))</f>
        <v/>
      </c>
      <c r="C29" s="81"/>
      <c r="D29" s="102"/>
      <c r="E29" s="81"/>
      <c r="F29" s="334"/>
      <c r="G29" s="182" t="str">
        <f t="shared" si="0"/>
        <v/>
      </c>
      <c r="H29" s="173"/>
      <c r="I29" s="334"/>
      <c r="J29" s="182" t="str">
        <f t="shared" si="1"/>
        <v/>
      </c>
      <c r="K29" s="125"/>
      <c r="L29" s="128"/>
      <c r="M29" s="282" t="str">
        <f>IF(ISBLANK(L29),"",SUM(E29,H29)*VLOOKUP(L29,Ceilings!$X$4:$Y$5,2,0))</f>
        <v/>
      </c>
      <c r="N29" s="283" t="str">
        <f>IF(OR(ISBLANK($D29),ISBLANK($K29)),"",IF(LEFT($D29,18)="Long-term teaching",VLOOKUP($K29,Subsistence,2,0)*14+VLOOKUP($K29,Subsistence,3,0)*46+IF($F29&gt;60,VLOOKUP($K29,Subsistence,4,0)*($F29-60),0),IF(LEFT($D29,18)="Short-term blended",IF($F29&lt;15,Ceilings!$S$6*$F29,Ceilings!$S$6*14+Ceilings!$S$7*($F29-14)),IF($F29&lt;15,Ceilings!$S$3*$F29,Ceilings!$S$3*14+Ceilings!$S$4*($F29-14)))))</f>
        <v/>
      </c>
      <c r="O29" s="284" t="str">
        <f>IF(OR(ISBLANK(D29),ISBLANK(H29),ISBLANK(K29)),"",IF(I29&lt;15,Ceilings!$S$3*I29,Ceilings!$S$3*14+Ceilings!$S$4*(I29-14)))</f>
        <v/>
      </c>
      <c r="P29" s="282" t="str">
        <f t="shared" si="2"/>
        <v/>
      </c>
      <c r="Q29" s="173"/>
      <c r="R29" s="282" t="str">
        <f>IF(OR(ISBLANK($D29),ISBLANK($K29),ISBLANK(Q29)),"",Ceilings!$V$3*Q29)</f>
        <v/>
      </c>
      <c r="S29" s="116" t="str">
        <f t="shared" si="3"/>
        <v/>
      </c>
    </row>
    <row r="30" spans="1:19" ht="15.75" customHeight="1">
      <c r="A30" s="52"/>
      <c r="B30" s="95" t="str">
        <f>IF(ISBLANK(A30),"",VLOOKUP(A30,Management!$A$6:$C$20,2,0))</f>
        <v/>
      </c>
      <c r="C30" s="81"/>
      <c r="D30" s="102"/>
      <c r="E30" s="81"/>
      <c r="F30" s="334"/>
      <c r="G30" s="182" t="str">
        <f t="shared" si="0"/>
        <v/>
      </c>
      <c r="H30" s="173"/>
      <c r="I30" s="334"/>
      <c r="J30" s="182" t="str">
        <f t="shared" si="1"/>
        <v/>
      </c>
      <c r="K30" s="125"/>
      <c r="L30" s="128"/>
      <c r="M30" s="282" t="str">
        <f>IF(ISBLANK(L30),"",SUM(E30,H30)*VLOOKUP(L30,Ceilings!$X$4:$Y$5,2,0))</f>
        <v/>
      </c>
      <c r="N30" s="283" t="str">
        <f>IF(OR(ISBLANK($D30),ISBLANK($K30)),"",IF(LEFT($D30,18)="Long-term teaching",VLOOKUP($K30,Subsistence,2,0)*14+VLOOKUP($K30,Subsistence,3,0)*46+IF($F30&gt;60,VLOOKUP($K30,Subsistence,4,0)*($F30-60),0),IF(LEFT($D30,18)="Short-term blended",IF($F30&lt;15,Ceilings!$S$6*$F30,Ceilings!$S$6*14+Ceilings!$S$7*($F30-14)),IF($F30&lt;15,Ceilings!$S$3*$F30,Ceilings!$S$3*14+Ceilings!$S$4*($F30-14)))))</f>
        <v/>
      </c>
      <c r="O30" s="284" t="str">
        <f>IF(OR(ISBLANK(D30),ISBLANK(H30),ISBLANK(K30)),"",IF(I30&lt;15,Ceilings!$S$3*I30,Ceilings!$S$3*14+Ceilings!$S$4*(I30-14)))</f>
        <v/>
      </c>
      <c r="P30" s="282" t="str">
        <f t="shared" si="2"/>
        <v/>
      </c>
      <c r="Q30" s="173"/>
      <c r="R30" s="282" t="str">
        <f>IF(OR(ISBLANK($D30),ISBLANK($K30),ISBLANK(Q30)),"",Ceilings!$V$3*Q30)</f>
        <v/>
      </c>
      <c r="S30" s="116" t="str">
        <f t="shared" si="3"/>
        <v/>
      </c>
    </row>
    <row r="31" spans="1:19" ht="15.75" customHeight="1">
      <c r="A31" s="52"/>
      <c r="B31" s="95" t="str">
        <f>IF(ISBLANK(A31),"",VLOOKUP(A31,Management!$A$6:$C$20,2,0))</f>
        <v/>
      </c>
      <c r="C31" s="81"/>
      <c r="D31" s="102"/>
      <c r="E31" s="81"/>
      <c r="F31" s="334"/>
      <c r="G31" s="182" t="str">
        <f t="shared" si="0"/>
        <v/>
      </c>
      <c r="H31" s="173"/>
      <c r="I31" s="334"/>
      <c r="J31" s="182" t="str">
        <f t="shared" si="1"/>
        <v/>
      </c>
      <c r="K31" s="125"/>
      <c r="L31" s="128"/>
      <c r="M31" s="282" t="str">
        <f>IF(ISBLANK(L31),"",SUM(E31,H31)*VLOOKUP(L31,Ceilings!$X$4:$Y$5,2,0))</f>
        <v/>
      </c>
      <c r="N31" s="283" t="str">
        <f>IF(OR(ISBLANK($D31),ISBLANK($K31)),"",IF(LEFT($D31,18)="Long-term teaching",VLOOKUP($K31,Subsistence,2,0)*14+VLOOKUP($K31,Subsistence,3,0)*46+IF($F31&gt;60,VLOOKUP($K31,Subsistence,4,0)*($F31-60),0),IF(LEFT($D31,18)="Short-term blended",IF($F31&lt;15,Ceilings!$S$6*$F31,Ceilings!$S$6*14+Ceilings!$S$7*($F31-14)),IF($F31&lt;15,Ceilings!$S$3*$F31,Ceilings!$S$3*14+Ceilings!$S$4*($F31-14)))))</f>
        <v/>
      </c>
      <c r="O31" s="284" t="str">
        <f>IF(OR(ISBLANK(D31),ISBLANK(H31),ISBLANK(K31)),"",IF(I31&lt;15,Ceilings!$S$3*I31,Ceilings!$S$3*14+Ceilings!$S$4*(I31-14)))</f>
        <v/>
      </c>
      <c r="P31" s="282" t="str">
        <f t="shared" si="2"/>
        <v/>
      </c>
      <c r="Q31" s="173"/>
      <c r="R31" s="282" t="str">
        <f>IF(OR(ISBLANK($D31),ISBLANK($K31),ISBLANK(Q31)),"",Ceilings!$V$3*Q31)</f>
        <v/>
      </c>
      <c r="S31" s="116" t="str">
        <f t="shared" si="3"/>
        <v/>
      </c>
    </row>
    <row r="32" spans="1:19" ht="15.75" customHeight="1">
      <c r="A32" s="52"/>
      <c r="B32" s="95" t="str">
        <f>IF(ISBLANK(A32),"",VLOOKUP(A32,Management!$A$6:$C$20,2,0))</f>
        <v/>
      </c>
      <c r="C32" s="81"/>
      <c r="D32" s="102"/>
      <c r="E32" s="81"/>
      <c r="F32" s="334"/>
      <c r="G32" s="182" t="str">
        <f t="shared" si="0"/>
        <v/>
      </c>
      <c r="H32" s="173"/>
      <c r="I32" s="334"/>
      <c r="J32" s="182" t="str">
        <f t="shared" si="1"/>
        <v/>
      </c>
      <c r="K32" s="125"/>
      <c r="L32" s="128"/>
      <c r="M32" s="282" t="str">
        <f>IF(ISBLANK(L32),"",SUM(E32,H32)*VLOOKUP(L32,Ceilings!$X$4:$Y$5,2,0))</f>
        <v/>
      </c>
      <c r="N32" s="283" t="str">
        <f>IF(OR(ISBLANK($D32),ISBLANK($K32)),"",IF(LEFT($D32,18)="Long-term teaching",VLOOKUP($K32,Subsistence,2,0)*14+VLOOKUP($K32,Subsistence,3,0)*46+IF($F32&gt;60,VLOOKUP($K32,Subsistence,4,0)*($F32-60),0),IF(LEFT($D32,18)="Short-term blended",IF($F32&lt;15,Ceilings!$S$6*$F32,Ceilings!$S$6*14+Ceilings!$S$7*($F32-14)),IF($F32&lt;15,Ceilings!$S$3*$F32,Ceilings!$S$3*14+Ceilings!$S$4*($F32-14)))))</f>
        <v/>
      </c>
      <c r="O32" s="284" t="str">
        <f>IF(OR(ISBLANK(D32),ISBLANK(H32),ISBLANK(K32)),"",IF(I32&lt;15,Ceilings!$S$3*I32,Ceilings!$S$3*14+Ceilings!$S$4*(I32-14)))</f>
        <v/>
      </c>
      <c r="P32" s="282" t="str">
        <f t="shared" si="2"/>
        <v/>
      </c>
      <c r="Q32" s="173"/>
      <c r="R32" s="282" t="str">
        <f>IF(OR(ISBLANK($D32),ISBLANK($K32),ISBLANK(Q32)),"",Ceilings!$V$3*Q32)</f>
        <v/>
      </c>
      <c r="S32" s="116" t="str">
        <f t="shared" si="3"/>
        <v/>
      </c>
    </row>
    <row r="33" spans="1:19" ht="15.75" customHeight="1">
      <c r="A33" s="52"/>
      <c r="B33" s="95" t="str">
        <f>IF(ISBLANK(A33),"",VLOOKUP(A33,Management!$A$6:$C$20,2,0))</f>
        <v/>
      </c>
      <c r="C33" s="81"/>
      <c r="D33" s="102"/>
      <c r="E33" s="81"/>
      <c r="F33" s="334"/>
      <c r="G33" s="182" t="str">
        <f t="shared" si="0"/>
        <v/>
      </c>
      <c r="H33" s="173"/>
      <c r="I33" s="334"/>
      <c r="J33" s="182" t="str">
        <f t="shared" si="1"/>
        <v/>
      </c>
      <c r="K33" s="125"/>
      <c r="L33" s="128"/>
      <c r="M33" s="282" t="str">
        <f>IF(ISBLANK(L33),"",SUM(E33,H33)*VLOOKUP(L33,Ceilings!$X$4:$Y$5,2,0))</f>
        <v/>
      </c>
      <c r="N33" s="283" t="str">
        <f>IF(OR(ISBLANK($D33),ISBLANK($K33)),"",IF(LEFT($D33,18)="Long-term teaching",VLOOKUP($K33,Subsistence,2,0)*14+VLOOKUP($K33,Subsistence,3,0)*46+IF($F33&gt;60,VLOOKUP($K33,Subsistence,4,0)*($F33-60),0),IF(LEFT($D33,18)="Short-term blended",IF($F33&lt;15,Ceilings!$S$6*$F33,Ceilings!$S$6*14+Ceilings!$S$7*($F33-14)),IF($F33&lt;15,Ceilings!$S$3*$F33,Ceilings!$S$3*14+Ceilings!$S$4*($F33-14)))))</f>
        <v/>
      </c>
      <c r="O33" s="284" t="str">
        <f>IF(OR(ISBLANK(D33),ISBLANK(H33),ISBLANK(K33)),"",IF(I33&lt;15,Ceilings!$S$3*I33,Ceilings!$S$3*14+Ceilings!$S$4*(I33-14)))</f>
        <v/>
      </c>
      <c r="P33" s="282" t="str">
        <f t="shared" si="2"/>
        <v/>
      </c>
      <c r="Q33" s="173"/>
      <c r="R33" s="282" t="str">
        <f>IF(OR(ISBLANK($D33),ISBLANK($K33),ISBLANK(Q33)),"",Ceilings!$V$3*Q33)</f>
        <v/>
      </c>
      <c r="S33" s="116" t="str">
        <f t="shared" si="3"/>
        <v/>
      </c>
    </row>
    <row r="34" spans="1:19" ht="15.75" customHeight="1">
      <c r="A34" s="52"/>
      <c r="B34" s="95" t="str">
        <f>IF(ISBLANK(A34),"",VLOOKUP(A34,Management!$A$6:$C$20,2,0))</f>
        <v/>
      </c>
      <c r="C34" s="81"/>
      <c r="D34" s="102"/>
      <c r="E34" s="81"/>
      <c r="F34" s="334"/>
      <c r="G34" s="182" t="str">
        <f t="shared" si="0"/>
        <v/>
      </c>
      <c r="H34" s="173"/>
      <c r="I34" s="334"/>
      <c r="J34" s="182" t="str">
        <f t="shared" si="1"/>
        <v/>
      </c>
      <c r="K34" s="125"/>
      <c r="L34" s="128"/>
      <c r="M34" s="282" t="str">
        <f>IF(ISBLANK(L34),"",SUM(E34,H34)*VLOOKUP(L34,Ceilings!$X$4:$Y$5,2,0))</f>
        <v/>
      </c>
      <c r="N34" s="283" t="str">
        <f>IF(OR(ISBLANK($D34),ISBLANK($K34)),"",IF(LEFT($D34,18)="Long-term teaching",VLOOKUP($K34,Subsistence,2,0)*14+VLOOKUP($K34,Subsistence,3,0)*46+IF($F34&gt;60,VLOOKUP($K34,Subsistence,4,0)*($F34-60),0),IF(LEFT($D34,18)="Short-term blended",IF($F34&lt;15,Ceilings!$S$6*$F34,Ceilings!$S$6*14+Ceilings!$S$7*($F34-14)),IF($F34&lt;15,Ceilings!$S$3*$F34,Ceilings!$S$3*14+Ceilings!$S$4*($F34-14)))))</f>
        <v/>
      </c>
      <c r="O34" s="284" t="str">
        <f>IF(OR(ISBLANK(D34),ISBLANK(H34),ISBLANK(K34)),"",IF(I34&lt;15,Ceilings!$S$3*I34,Ceilings!$S$3*14+Ceilings!$S$4*(I34-14)))</f>
        <v/>
      </c>
      <c r="P34" s="282" t="str">
        <f t="shared" si="2"/>
        <v/>
      </c>
      <c r="Q34" s="173"/>
      <c r="R34" s="282" t="str">
        <f>IF(OR(ISBLANK($D34),ISBLANK($K34),ISBLANK(Q34)),"",Ceilings!$V$3*Q34)</f>
        <v/>
      </c>
      <c r="S34" s="116" t="str">
        <f t="shared" si="3"/>
        <v/>
      </c>
    </row>
    <row r="35" spans="1:19" ht="15.75" customHeight="1">
      <c r="A35" s="52"/>
      <c r="B35" s="95" t="str">
        <f>IF(ISBLANK(A35),"",VLOOKUP(A35,Management!$A$6:$C$20,2,0))</f>
        <v/>
      </c>
      <c r="C35" s="81"/>
      <c r="D35" s="102"/>
      <c r="E35" s="81"/>
      <c r="F35" s="334"/>
      <c r="G35" s="182" t="str">
        <f t="shared" si="0"/>
        <v/>
      </c>
      <c r="H35" s="173"/>
      <c r="I35" s="334"/>
      <c r="J35" s="182" t="str">
        <f t="shared" si="1"/>
        <v/>
      </c>
      <c r="K35" s="125"/>
      <c r="L35" s="128"/>
      <c r="M35" s="282" t="str">
        <f>IF(ISBLANK(L35),"",SUM(E35,H35)*VLOOKUP(L35,Ceilings!$X$4:$Y$5,2,0))</f>
        <v/>
      </c>
      <c r="N35" s="283" t="str">
        <f>IF(OR(ISBLANK($D35),ISBLANK($K35)),"",IF(LEFT($D35,18)="Long-term teaching",VLOOKUP($K35,Subsistence,2,0)*14+VLOOKUP($K35,Subsistence,3,0)*46+IF($F35&gt;60,VLOOKUP($K35,Subsistence,4,0)*($F35-60),0),IF(LEFT($D35,18)="Short-term blended",IF($F35&lt;15,Ceilings!$S$6*$F35,Ceilings!$S$6*14+Ceilings!$S$7*($F35-14)),IF($F35&lt;15,Ceilings!$S$3*$F35,Ceilings!$S$3*14+Ceilings!$S$4*($F35-14)))))</f>
        <v/>
      </c>
      <c r="O35" s="284" t="str">
        <f>IF(OR(ISBLANK(D35),ISBLANK(H35),ISBLANK(K35)),"",IF(I35&lt;15,Ceilings!$S$3*I35,Ceilings!$S$3*14+Ceilings!$S$4*(I35-14)))</f>
        <v/>
      </c>
      <c r="P35" s="282" t="str">
        <f t="shared" si="2"/>
        <v/>
      </c>
      <c r="Q35" s="173"/>
      <c r="R35" s="282" t="str">
        <f>IF(OR(ISBLANK($D35),ISBLANK($K35),ISBLANK(Q35)),"",Ceilings!$V$3*Q35)</f>
        <v/>
      </c>
      <c r="S35" s="116" t="str">
        <f t="shared" si="3"/>
        <v/>
      </c>
    </row>
    <row r="36" spans="1:19" ht="15.75" customHeight="1">
      <c r="A36" s="52"/>
      <c r="B36" s="95" t="str">
        <f>IF(ISBLANK(A36),"",VLOOKUP(A36,Management!$A$6:$C$20,2,0))</f>
        <v/>
      </c>
      <c r="C36" s="81"/>
      <c r="D36" s="102"/>
      <c r="E36" s="81"/>
      <c r="F36" s="334"/>
      <c r="G36" s="182" t="str">
        <f t="shared" si="0"/>
        <v/>
      </c>
      <c r="H36" s="173"/>
      <c r="I36" s="334"/>
      <c r="J36" s="182" t="str">
        <f t="shared" si="1"/>
        <v/>
      </c>
      <c r="K36" s="125"/>
      <c r="L36" s="128"/>
      <c r="M36" s="282" t="str">
        <f>IF(ISBLANK(L36),"",SUM(E36,H36)*VLOOKUP(L36,Ceilings!$X$4:$Y$5,2,0))</f>
        <v/>
      </c>
      <c r="N36" s="283" t="str">
        <f>IF(OR(ISBLANK($D36),ISBLANK($K36)),"",IF(LEFT($D36,18)="Long-term teaching",VLOOKUP($K36,Subsistence,2,0)*14+VLOOKUP($K36,Subsistence,3,0)*46+IF($F36&gt;60,VLOOKUP($K36,Subsistence,4,0)*($F36-60),0),IF(LEFT($D36,18)="Short-term blended",IF($F36&lt;15,Ceilings!$S$6*$F36,Ceilings!$S$6*14+Ceilings!$S$7*($F36-14)),IF($F36&lt;15,Ceilings!$S$3*$F36,Ceilings!$S$3*14+Ceilings!$S$4*($F36-14)))))</f>
        <v/>
      </c>
      <c r="O36" s="284" t="str">
        <f>IF(OR(ISBLANK(D36),ISBLANK(H36),ISBLANK(K36)),"",IF(I36&lt;15,Ceilings!$S$3*I36,Ceilings!$S$3*14+Ceilings!$S$4*(I36-14)))</f>
        <v/>
      </c>
      <c r="P36" s="282" t="str">
        <f t="shared" si="2"/>
        <v/>
      </c>
      <c r="Q36" s="173"/>
      <c r="R36" s="282" t="str">
        <f>IF(OR(ISBLANK($D36),ISBLANK($K36),ISBLANK(Q36)),"",Ceilings!$V$3*Q36)</f>
        <v/>
      </c>
      <c r="S36" s="116" t="str">
        <f t="shared" si="3"/>
        <v/>
      </c>
    </row>
    <row r="37" spans="1:19" ht="15.75" customHeight="1" thickBot="1">
      <c r="A37" s="55"/>
      <c r="B37" s="96" t="str">
        <f>IF(ISBLANK(A37),"",VLOOKUP(A37,Management!$A$6:$C$20,2,0))</f>
        <v/>
      </c>
      <c r="C37" s="83"/>
      <c r="D37" s="103"/>
      <c r="E37" s="83"/>
      <c r="F37" s="335"/>
      <c r="G37" s="183" t="str">
        <f t="shared" si="0"/>
        <v/>
      </c>
      <c r="H37" s="174"/>
      <c r="I37" s="335"/>
      <c r="J37" s="183" t="str">
        <f t="shared" si="1"/>
        <v/>
      </c>
      <c r="K37" s="126"/>
      <c r="L37" s="129"/>
      <c r="M37" s="285" t="str">
        <f>IF(ISBLANK(L37),"",SUM(E37,H37)*VLOOKUP(L37,Ceilings!$X$4:$Y$5,2,0))</f>
        <v/>
      </c>
      <c r="N37" s="286" t="str">
        <f>IF(OR(ISBLANK($D37),ISBLANK($K37)),"",IF(LEFT($D37,18)="Long-term teaching",VLOOKUP($K37,Subsistence,2,0)*14+VLOOKUP($K37,Subsistence,3,0)*46+IF($F37&gt;60,VLOOKUP($K37,Subsistence,4,0)*($F37-60),0),IF(LEFT($D37,18)="Short-term blended",IF($F37&lt;15,Ceilings!$S$6*$F37,Ceilings!$S$6*14+Ceilings!$S$7*($F37-14)),IF($F37&lt;15,Ceilings!$S$3*$F37,Ceilings!$S$3*14+Ceilings!$S$4*($F37-14)))))</f>
        <v/>
      </c>
      <c r="O37" s="287" t="str">
        <f>IF(OR(ISBLANK(D37),ISBLANK(H37),ISBLANK(K37)),"",IF(I37&lt;15,Ceilings!$S$3*I37,Ceilings!$S$3*14+Ceilings!$S$4*(I37-14)))</f>
        <v/>
      </c>
      <c r="P37" s="285" t="str">
        <f t="shared" si="2"/>
        <v/>
      </c>
      <c r="Q37" s="174"/>
      <c r="R37" s="285" t="str">
        <f>IF(OR(ISBLANK($D37),ISBLANK($K37),ISBLANK(Q37)),"",Ceilings!$V$3*Q37)</f>
        <v/>
      </c>
      <c r="S37" s="120" t="str">
        <f t="shared" si="3"/>
        <v/>
      </c>
    </row>
  </sheetData>
  <sheetProtection password="CF02" sheet="1" objects="1" scenarios="1" sort="0" autoFilter="0"/>
  <mergeCells count="18">
    <mergeCell ref="F1:I2"/>
    <mergeCell ref="K1:Q1"/>
    <mergeCell ref="D2:E2"/>
    <mergeCell ref="K2:Q2"/>
    <mergeCell ref="K4:K5"/>
    <mergeCell ref="L4:L5"/>
    <mergeCell ref="M4:M5"/>
    <mergeCell ref="N4:P4"/>
    <mergeCell ref="Q4:R4"/>
    <mergeCell ref="S4:S5"/>
    <mergeCell ref="A4:A5"/>
    <mergeCell ref="B4:B5"/>
    <mergeCell ref="C4:C5"/>
    <mergeCell ref="D4:D5"/>
    <mergeCell ref="E4:E5"/>
    <mergeCell ref="F4:G5"/>
    <mergeCell ref="H4:H5"/>
    <mergeCell ref="I4:J5"/>
  </mergeCells>
  <conditionalFormatting sqref="Q7:Q37">
    <cfRule type="expression" dxfId="4" priority="4" stopIfTrue="1">
      <formula>LEFT($D7,4)="Long"</formula>
    </cfRule>
  </conditionalFormatting>
  <conditionalFormatting sqref="K7:K37">
    <cfRule type="expression" priority="1" stopIfTrue="1">
      <formula>ISBLANK(K7)</formula>
    </cfRule>
    <cfRule type="expression" priority="2" stopIfTrue="1">
      <formula>LEFT($D7,16)="Short term joint"</formula>
    </cfRule>
    <cfRule type="cellIs" dxfId="3" priority="3" stopIfTrue="1" operator="equal">
      <formula>$B7</formula>
    </cfRule>
  </conditionalFormatting>
  <dataValidations count="9">
    <dataValidation type="custom" allowBlank="1" showErrorMessage="1" error="Long-term teaching or training must be between 60 and 365 days, otherwise between 5 and 60 days." sqref="F7:F37">
      <formula1>IF(LEFT($D7,4)="Long",AND(F7&gt;59,F7&lt;366),AND(F7&gt;4,F7&lt;61))</formula1>
    </dataValidation>
    <dataValidation allowBlank="1" error="Long-term teaching or training assignments &lt; 367 days, otherwise between 5 and 60 days." sqref="G7:G37 J7:J37"/>
    <dataValidation type="list" allowBlank="1" showInputMessage="1" showErrorMessage="1" sqref="L7:L37">
      <formula1>Distances</formula1>
    </dataValidation>
    <dataValidation type="list" allowBlank="1" showInputMessage="1" showErrorMessage="1" sqref="D7:D37">
      <formula1>IF(ISNA(MATCH(B7,PCountries,0)),Activity_t,H_Activity_t)</formula1>
    </dataValidation>
    <dataValidation type="list" allowBlank="1" showInputMessage="1" showErrorMessage="1" sqref="A7:A37">
      <formula1>Partners</formula1>
    </dataValidation>
    <dataValidation type="list" allowBlank="1" showInputMessage="1" showErrorMessage="1" sqref="K7:K37">
      <formula1>dCountries</formula1>
    </dataValidation>
    <dataValidation type="custom" allowBlank="1" showInputMessage="1" showErrorMessage="1" error="It is not possible greater than for participants." sqref="I7:I37">
      <formula1>I7&lt;=F7</formula1>
    </dataValidation>
    <dataValidation type="custom" showInputMessage="1" showErrorMessage="1" sqref="H7:H37">
      <formula1>FALSE()</formula1>
    </dataValidation>
    <dataValidation type="custom" showInputMessage="1" showErrorMessage="1" sqref="Q7:Q37">
      <formula1>LEFT($D7,4)="Long"</formula1>
    </dataValidation>
  </dataValidations>
  <printOptions horizontalCentered="1"/>
  <pageMargins left="0.27559055118110237" right="0.27559055118110237" top="0.6692913385826772" bottom="0.6692913385826772" header="0.36989583333333331" footer="0.51181102362204722"/>
  <pageSetup paperSize="9" scale="67" orientation="landscape" r:id="rId1"/>
  <headerFooter scaleWithDoc="0">
    <oddHeader>&amp;C&amp;11 2016. E+ KA204&amp;RVersion: 2016.01.17. - TKA</oddHeader>
    <oddFooter>&amp;C&amp;"Arial,Félkövér"&amp;A</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408000"/>
    <pageSetUpPr fitToPage="1"/>
  </sheetPr>
  <dimension ref="A1:G36"/>
  <sheetViews>
    <sheetView zoomScaleNormal="100" zoomScaleSheetLayoutView="100" workbookViewId="0">
      <selection activeCell="A6" sqref="A6"/>
    </sheetView>
  </sheetViews>
  <sheetFormatPr defaultColWidth="8.85546875" defaultRowHeight="12.75"/>
  <cols>
    <col min="1" max="1" width="6.140625" style="64" customWidth="1"/>
    <col min="2" max="2" width="19.42578125" style="59" customWidth="1"/>
    <col min="3" max="3" width="22.85546875" style="77" customWidth="1"/>
    <col min="4" max="4" width="22.42578125" style="77" customWidth="1"/>
    <col min="5" max="5" width="9.28515625" style="78" customWidth="1"/>
    <col min="6" max="6" width="13.7109375" style="78" customWidth="1"/>
    <col min="7" max="7" width="35.7109375" style="30" bestFit="1" customWidth="1"/>
    <col min="8" max="16384" width="8.85546875" style="30"/>
  </cols>
  <sheetData>
    <row r="1" spans="1:7" s="85" customFormat="1" ht="15" customHeight="1">
      <c r="A1" s="191" t="s">
        <v>151</v>
      </c>
      <c r="B1" s="192"/>
      <c r="C1" s="220"/>
      <c r="D1" s="541" t="s">
        <v>435</v>
      </c>
      <c r="E1" s="542"/>
      <c r="F1" s="543"/>
    </row>
    <row r="2" spans="1:7" s="85" customFormat="1" ht="16.5" thickBot="1">
      <c r="A2" s="195" t="s">
        <v>0</v>
      </c>
      <c r="B2" s="196"/>
      <c r="C2" s="222"/>
      <c r="D2" s="544"/>
      <c r="E2" s="545"/>
      <c r="F2" s="546"/>
    </row>
    <row r="3" spans="1:7" s="69" customFormat="1" ht="13.5" customHeight="1" thickBot="1">
      <c r="A3" s="204" t="s">
        <v>1</v>
      </c>
      <c r="B3" s="205"/>
      <c r="C3" s="229"/>
      <c r="D3" s="229"/>
      <c r="E3" s="230"/>
      <c r="F3" s="231"/>
    </row>
    <row r="4" spans="1:7" s="66" customFormat="1" ht="26.25" thickBot="1">
      <c r="A4" s="210" t="s">
        <v>319</v>
      </c>
      <c r="B4" s="211" t="s">
        <v>32</v>
      </c>
      <c r="C4" s="224" t="s">
        <v>152</v>
      </c>
      <c r="D4" s="224" t="s">
        <v>150</v>
      </c>
      <c r="E4" s="225" t="s">
        <v>36</v>
      </c>
      <c r="F4" s="225" t="s">
        <v>322</v>
      </c>
    </row>
    <row r="5" spans="1:7" s="66" customFormat="1" ht="13.5" customHeight="1" thickBot="1">
      <c r="A5" s="232"/>
      <c r="B5" s="215"/>
      <c r="C5" s="215"/>
      <c r="D5" s="216"/>
      <c r="E5" s="271" t="s">
        <v>329</v>
      </c>
      <c r="F5" s="299">
        <f>SUM(F6:F36)</f>
        <v>0</v>
      </c>
      <c r="G5" s="86" t="str">
        <f>IF(F5&gt;50000,"75% of eligible costs ≤ 50000 EUR per project!","")</f>
        <v/>
      </c>
    </row>
    <row r="6" spans="1:7">
      <c r="A6" s="49"/>
      <c r="B6" s="73" t="str">
        <f>IF(ISBLANK(A6),"",VLOOKUP(A6,Management!$A$6:$C$20,2,0))</f>
        <v/>
      </c>
      <c r="C6" s="39"/>
      <c r="D6" s="39"/>
      <c r="E6" s="272"/>
      <c r="F6" s="270" t="str">
        <f>IF(ISBLANK(A6),"",IF(OR(ISBLANK(C6),ISBLANK(D6),ISBLANK(E6)),"Missing data",ROUND(E6*0.75,0)))</f>
        <v/>
      </c>
    </row>
    <row r="7" spans="1:7">
      <c r="A7" s="52"/>
      <c r="B7" s="74" t="str">
        <f>IF(ISBLANK(A7),"",VLOOKUP(A7,Management!$A$6:$C$20,2,0))</f>
        <v/>
      </c>
      <c r="C7" s="41"/>
      <c r="D7" s="41"/>
      <c r="E7" s="273"/>
      <c r="F7" s="116" t="str">
        <f t="shared" ref="F7:F36" si="0">IF(ISBLANK(A7),"",IF(OR(ISBLANK(C7),ISBLANK(D7),ISBLANK(E7)),"Missing data",ROUND(E7*0.75,0)))</f>
        <v/>
      </c>
    </row>
    <row r="8" spans="1:7">
      <c r="A8" s="52"/>
      <c r="B8" s="74" t="str">
        <f>IF(ISBLANK(A8),"",VLOOKUP(A8,Management!$A$6:$C$20,2,0))</f>
        <v/>
      </c>
      <c r="C8" s="41"/>
      <c r="D8" s="41"/>
      <c r="E8" s="273"/>
      <c r="F8" s="116" t="str">
        <f t="shared" si="0"/>
        <v/>
      </c>
    </row>
    <row r="9" spans="1:7">
      <c r="A9" s="52"/>
      <c r="B9" s="74" t="str">
        <f>IF(ISBLANK(A9),"",VLOOKUP(A9,Management!$A$6:$C$20,2,0))</f>
        <v/>
      </c>
      <c r="C9" s="41"/>
      <c r="D9" s="41"/>
      <c r="E9" s="273"/>
      <c r="F9" s="116" t="str">
        <f t="shared" si="0"/>
        <v/>
      </c>
    </row>
    <row r="10" spans="1:7">
      <c r="A10" s="52"/>
      <c r="B10" s="74" t="str">
        <f>IF(ISBLANK(A10),"",VLOOKUP(A10,Management!$A$6:$C$20,2,0))</f>
        <v/>
      </c>
      <c r="C10" s="41"/>
      <c r="D10" s="41"/>
      <c r="E10" s="273"/>
      <c r="F10" s="116" t="str">
        <f t="shared" si="0"/>
        <v/>
      </c>
    </row>
    <row r="11" spans="1:7">
      <c r="A11" s="52"/>
      <c r="B11" s="74" t="str">
        <f>IF(ISBLANK(A11),"",VLOOKUP(A11,Management!$A$6:$C$20,2,0))</f>
        <v/>
      </c>
      <c r="C11" s="41"/>
      <c r="D11" s="41"/>
      <c r="E11" s="273"/>
      <c r="F11" s="116" t="str">
        <f t="shared" si="0"/>
        <v/>
      </c>
    </row>
    <row r="12" spans="1:7">
      <c r="A12" s="52"/>
      <c r="B12" s="74" t="str">
        <f>IF(ISBLANK(A12),"",VLOOKUP(A12,Management!$A$6:$C$20,2,0))</f>
        <v/>
      </c>
      <c r="C12" s="41"/>
      <c r="D12" s="41"/>
      <c r="E12" s="273"/>
      <c r="F12" s="116" t="str">
        <f t="shared" si="0"/>
        <v/>
      </c>
    </row>
    <row r="13" spans="1:7">
      <c r="A13" s="52"/>
      <c r="B13" s="74" t="str">
        <f>IF(ISBLANK(A13),"",VLOOKUP(A13,Management!$A$6:$C$20,2,0))</f>
        <v/>
      </c>
      <c r="C13" s="41"/>
      <c r="D13" s="41"/>
      <c r="E13" s="273"/>
      <c r="F13" s="116" t="str">
        <f t="shared" si="0"/>
        <v/>
      </c>
    </row>
    <row r="14" spans="1:7">
      <c r="A14" s="52"/>
      <c r="B14" s="74" t="str">
        <f>IF(ISBLANK(A14),"",VLOOKUP(A14,Management!$A$6:$C$20,2,0))</f>
        <v/>
      </c>
      <c r="C14" s="41"/>
      <c r="D14" s="41"/>
      <c r="E14" s="273"/>
      <c r="F14" s="116" t="str">
        <f t="shared" si="0"/>
        <v/>
      </c>
    </row>
    <row r="15" spans="1:7">
      <c r="A15" s="52"/>
      <c r="B15" s="74" t="str">
        <f>IF(ISBLANK(A15),"",VLOOKUP(A15,Management!$A$6:$C$20,2,0))</f>
        <v/>
      </c>
      <c r="C15" s="41"/>
      <c r="D15" s="41"/>
      <c r="E15" s="273"/>
      <c r="F15" s="116" t="str">
        <f t="shared" si="0"/>
        <v/>
      </c>
    </row>
    <row r="16" spans="1:7">
      <c r="A16" s="52"/>
      <c r="B16" s="74" t="str">
        <f>IF(ISBLANK(A16),"",VLOOKUP(A16,Management!$A$6:$C$20,2,0))</f>
        <v/>
      </c>
      <c r="C16" s="41"/>
      <c r="D16" s="41"/>
      <c r="E16" s="273"/>
      <c r="F16" s="116" t="str">
        <f t="shared" si="0"/>
        <v/>
      </c>
    </row>
    <row r="17" spans="1:6">
      <c r="A17" s="52"/>
      <c r="B17" s="74" t="str">
        <f>IF(ISBLANK(A17),"",VLOOKUP(A17,Management!$A$6:$C$20,2,0))</f>
        <v/>
      </c>
      <c r="C17" s="41"/>
      <c r="D17" s="41"/>
      <c r="E17" s="273"/>
      <c r="F17" s="116" t="str">
        <f t="shared" si="0"/>
        <v/>
      </c>
    </row>
    <row r="18" spans="1:6">
      <c r="A18" s="52"/>
      <c r="B18" s="74" t="str">
        <f>IF(ISBLANK(A18),"",VLOOKUP(A18,Management!$A$6:$C$20,2,0))</f>
        <v/>
      </c>
      <c r="C18" s="41"/>
      <c r="D18" s="41"/>
      <c r="E18" s="273"/>
      <c r="F18" s="116" t="str">
        <f t="shared" si="0"/>
        <v/>
      </c>
    </row>
    <row r="19" spans="1:6">
      <c r="A19" s="52"/>
      <c r="B19" s="74" t="str">
        <f>IF(ISBLANK(A19),"",VLOOKUP(A19,Management!$A$6:$C$20,2,0))</f>
        <v/>
      </c>
      <c r="C19" s="41"/>
      <c r="D19" s="41"/>
      <c r="E19" s="273"/>
      <c r="F19" s="116" t="str">
        <f t="shared" si="0"/>
        <v/>
      </c>
    </row>
    <row r="20" spans="1:6">
      <c r="A20" s="52"/>
      <c r="B20" s="74" t="str">
        <f>IF(ISBLANK(A20),"",VLOOKUP(A20,Management!$A$6:$C$20,2,0))</f>
        <v/>
      </c>
      <c r="C20" s="41"/>
      <c r="D20" s="41"/>
      <c r="E20" s="273"/>
      <c r="F20" s="116" t="str">
        <f t="shared" si="0"/>
        <v/>
      </c>
    </row>
    <row r="21" spans="1:6">
      <c r="A21" s="52"/>
      <c r="B21" s="74" t="str">
        <f>IF(ISBLANK(A21),"",VLOOKUP(A21,Management!$A$6:$C$20,2,0))</f>
        <v/>
      </c>
      <c r="C21" s="41"/>
      <c r="D21" s="41"/>
      <c r="E21" s="273"/>
      <c r="F21" s="116" t="str">
        <f t="shared" si="0"/>
        <v/>
      </c>
    </row>
    <row r="22" spans="1:6">
      <c r="A22" s="52"/>
      <c r="B22" s="74" t="str">
        <f>IF(ISBLANK(A22),"",VLOOKUP(A22,Management!$A$6:$C$20,2,0))</f>
        <v/>
      </c>
      <c r="C22" s="41"/>
      <c r="D22" s="41"/>
      <c r="E22" s="273"/>
      <c r="F22" s="116" t="str">
        <f t="shared" si="0"/>
        <v/>
      </c>
    </row>
    <row r="23" spans="1:6">
      <c r="A23" s="52"/>
      <c r="B23" s="74" t="str">
        <f>IF(ISBLANK(A23),"",VLOOKUP(A23,Management!$A$6:$C$20,2,0))</f>
        <v/>
      </c>
      <c r="C23" s="41"/>
      <c r="D23" s="41"/>
      <c r="E23" s="273"/>
      <c r="F23" s="116" t="str">
        <f t="shared" si="0"/>
        <v/>
      </c>
    </row>
    <row r="24" spans="1:6">
      <c r="A24" s="52"/>
      <c r="B24" s="74" t="str">
        <f>IF(ISBLANK(A24),"",VLOOKUP(A24,Management!$A$6:$C$20,2,0))</f>
        <v/>
      </c>
      <c r="C24" s="41"/>
      <c r="D24" s="41"/>
      <c r="E24" s="273"/>
      <c r="F24" s="116" t="str">
        <f t="shared" si="0"/>
        <v/>
      </c>
    </row>
    <row r="25" spans="1:6">
      <c r="A25" s="52"/>
      <c r="B25" s="74" t="str">
        <f>IF(ISBLANK(A25),"",VLOOKUP(A25,Management!$A$6:$C$20,2,0))</f>
        <v/>
      </c>
      <c r="C25" s="41"/>
      <c r="D25" s="41"/>
      <c r="E25" s="273"/>
      <c r="F25" s="116" t="str">
        <f t="shared" si="0"/>
        <v/>
      </c>
    </row>
    <row r="26" spans="1:6">
      <c r="A26" s="52"/>
      <c r="B26" s="74" t="str">
        <f>IF(ISBLANK(A26),"",VLOOKUP(A26,Management!$A$6:$C$20,2,0))</f>
        <v/>
      </c>
      <c r="C26" s="41"/>
      <c r="D26" s="41"/>
      <c r="E26" s="273"/>
      <c r="F26" s="116" t="str">
        <f t="shared" si="0"/>
        <v/>
      </c>
    </row>
    <row r="27" spans="1:6">
      <c r="A27" s="52"/>
      <c r="B27" s="74" t="str">
        <f>IF(ISBLANK(A27),"",VLOOKUP(A27,Management!$A$6:$C$20,2,0))</f>
        <v/>
      </c>
      <c r="C27" s="41"/>
      <c r="D27" s="41"/>
      <c r="E27" s="273"/>
      <c r="F27" s="116" t="str">
        <f t="shared" si="0"/>
        <v/>
      </c>
    </row>
    <row r="28" spans="1:6">
      <c r="A28" s="52"/>
      <c r="B28" s="74" t="str">
        <f>IF(ISBLANK(A28),"",VLOOKUP(A28,Management!$A$6:$C$20,2,0))</f>
        <v/>
      </c>
      <c r="C28" s="41"/>
      <c r="D28" s="41"/>
      <c r="E28" s="273"/>
      <c r="F28" s="116" t="str">
        <f t="shared" si="0"/>
        <v/>
      </c>
    </row>
    <row r="29" spans="1:6">
      <c r="A29" s="52"/>
      <c r="B29" s="74" t="str">
        <f>IF(ISBLANK(A29),"",VLOOKUP(A29,Management!$A$6:$C$20,2,0))</f>
        <v/>
      </c>
      <c r="C29" s="41"/>
      <c r="D29" s="41"/>
      <c r="E29" s="273"/>
      <c r="F29" s="116" t="str">
        <f t="shared" si="0"/>
        <v/>
      </c>
    </row>
    <row r="30" spans="1:6">
      <c r="A30" s="52"/>
      <c r="B30" s="74" t="str">
        <f>IF(ISBLANK(A30),"",VLOOKUP(A30,Management!$A$6:$C$20,2,0))</f>
        <v/>
      </c>
      <c r="C30" s="41"/>
      <c r="D30" s="41"/>
      <c r="E30" s="273"/>
      <c r="F30" s="116" t="str">
        <f t="shared" si="0"/>
        <v/>
      </c>
    </row>
    <row r="31" spans="1:6">
      <c r="A31" s="52"/>
      <c r="B31" s="74" t="str">
        <f>IF(ISBLANK(A31),"",VLOOKUP(A31,Management!$A$6:$C$20,2,0))</f>
        <v/>
      </c>
      <c r="C31" s="41"/>
      <c r="D31" s="41"/>
      <c r="E31" s="273"/>
      <c r="F31" s="116" t="str">
        <f t="shared" si="0"/>
        <v/>
      </c>
    </row>
    <row r="32" spans="1:6">
      <c r="A32" s="52"/>
      <c r="B32" s="74" t="str">
        <f>IF(ISBLANK(A32),"",VLOOKUP(A32,Management!$A$6:$C$20,2,0))</f>
        <v/>
      </c>
      <c r="C32" s="41"/>
      <c r="D32" s="41"/>
      <c r="E32" s="273"/>
      <c r="F32" s="116" t="str">
        <f t="shared" si="0"/>
        <v/>
      </c>
    </row>
    <row r="33" spans="1:6">
      <c r="A33" s="52"/>
      <c r="B33" s="74" t="str">
        <f>IF(ISBLANK(A33),"",VLOOKUP(A33,Management!$A$6:$C$20,2,0))</f>
        <v/>
      </c>
      <c r="C33" s="41"/>
      <c r="D33" s="41"/>
      <c r="E33" s="273"/>
      <c r="F33" s="116" t="str">
        <f t="shared" si="0"/>
        <v/>
      </c>
    </row>
    <row r="34" spans="1:6">
      <c r="A34" s="52"/>
      <c r="B34" s="74" t="str">
        <f>IF(ISBLANK(A34),"",VLOOKUP(A34,Management!$A$6:$C$20,2,0))</f>
        <v/>
      </c>
      <c r="C34" s="41"/>
      <c r="D34" s="41"/>
      <c r="E34" s="273"/>
      <c r="F34" s="116" t="str">
        <f t="shared" si="0"/>
        <v/>
      </c>
    </row>
    <row r="35" spans="1:6">
      <c r="A35" s="52"/>
      <c r="B35" s="74" t="str">
        <f>IF(ISBLANK(A35),"",VLOOKUP(A35,Management!$A$6:$C$20,2,0))</f>
        <v/>
      </c>
      <c r="C35" s="41"/>
      <c r="D35" s="41"/>
      <c r="E35" s="273"/>
      <c r="F35" s="116" t="str">
        <f t="shared" si="0"/>
        <v/>
      </c>
    </row>
    <row r="36" spans="1:6" ht="13.5" thickBot="1">
      <c r="A36" s="55"/>
      <c r="B36" s="56" t="str">
        <f>IF(ISBLANK(A36),"",VLOOKUP(A36,Management!$A$6:$C$20,2,0))</f>
        <v/>
      </c>
      <c r="C36" s="45"/>
      <c r="D36" s="45"/>
      <c r="E36" s="274"/>
      <c r="F36" s="120" t="str">
        <f t="shared" si="0"/>
        <v/>
      </c>
    </row>
  </sheetData>
  <sheetProtection password="CF02" sheet="1" objects="1" scenarios="1" sort="0" autoFilter="0"/>
  <mergeCells count="1">
    <mergeCell ref="D1:F2"/>
  </mergeCells>
  <phoneticPr fontId="7" type="noConversion"/>
  <conditionalFormatting sqref="F5">
    <cfRule type="expression" dxfId="2" priority="1" stopIfTrue="1">
      <formula>G5&lt;&gt;""</formula>
    </cfRule>
  </conditionalFormatting>
  <dataValidations count="1">
    <dataValidation type="list" allowBlank="1" showInputMessage="1" showErrorMessage="1" sqref="A6:A36">
      <formula1>Partners</formula1>
    </dataValidation>
  </dataValidations>
  <printOptions horizontalCentered="1"/>
  <pageMargins left="0.74803149606299213" right="0.74803149606299213" top="0.79" bottom="0.51181102362204722" header="0.43307086614173229" footer="0.31496062992125984"/>
  <pageSetup paperSize="9" orientation="landscape" r:id="rId1"/>
  <headerFooter>
    <oddHeader>&amp;C&amp;11 2016. E+ KA204&amp;RVersion: 2016.01.17. - TKA</oddHeader>
    <oddFooter>&amp;C&amp;"Arial,Félkövér"&amp;A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008000"/>
    <pageSetUpPr fitToPage="1"/>
  </sheetPr>
  <dimension ref="A1:H36"/>
  <sheetViews>
    <sheetView zoomScaleNormal="100" zoomScaleSheetLayoutView="100" workbookViewId="0">
      <selection activeCell="A6" sqref="A6"/>
    </sheetView>
  </sheetViews>
  <sheetFormatPr defaultColWidth="8.85546875" defaultRowHeight="12.75"/>
  <cols>
    <col min="1" max="1" width="6.140625" style="64" customWidth="1"/>
    <col min="2" max="2" width="19.42578125" style="59" customWidth="1"/>
    <col min="3" max="3" width="15.28515625" style="78" customWidth="1"/>
    <col min="4" max="4" width="22.85546875" style="77" customWidth="1"/>
    <col min="5" max="5" width="21.28515625" style="77" customWidth="1"/>
    <col min="6" max="6" width="11.42578125" style="78" customWidth="1"/>
    <col min="7" max="7" width="11.7109375" style="78" customWidth="1"/>
    <col min="8" max="8" width="21.140625" style="30" bestFit="1" customWidth="1"/>
    <col min="9" max="16384" width="8.85546875" style="30"/>
  </cols>
  <sheetData>
    <row r="1" spans="1:8" s="87" customFormat="1" ht="15.75">
      <c r="A1" s="191" t="s">
        <v>148</v>
      </c>
      <c r="B1" s="192"/>
      <c r="C1" s="226"/>
      <c r="D1" s="220"/>
      <c r="E1" s="220"/>
      <c r="F1" s="226"/>
      <c r="G1" s="227"/>
    </row>
    <row r="2" spans="1:8" s="88" customFormat="1" ht="15.75">
      <c r="A2" s="195" t="s">
        <v>0</v>
      </c>
      <c r="B2" s="196"/>
      <c r="C2" s="228"/>
      <c r="D2" s="222"/>
      <c r="E2" s="222"/>
      <c r="F2" s="228"/>
      <c r="G2" s="228"/>
    </row>
    <row r="3" spans="1:8" s="89" customFormat="1" ht="13.5" customHeight="1" thickBot="1">
      <c r="A3" s="204" t="s">
        <v>1</v>
      </c>
      <c r="B3" s="205"/>
      <c r="C3" s="230"/>
      <c r="D3" s="229"/>
      <c r="E3" s="229"/>
      <c r="F3" s="230"/>
      <c r="G3" s="231"/>
    </row>
    <row r="4" spans="1:8" s="87" customFormat="1" ht="26.25" customHeight="1" thickBot="1">
      <c r="A4" s="210" t="s">
        <v>319</v>
      </c>
      <c r="B4" s="211" t="s">
        <v>32</v>
      </c>
      <c r="C4" s="225" t="s">
        <v>149</v>
      </c>
      <c r="D4" s="224" t="s">
        <v>2</v>
      </c>
      <c r="E4" s="224" t="s">
        <v>150</v>
      </c>
      <c r="F4" s="225" t="s">
        <v>36</v>
      </c>
      <c r="G4" s="225" t="s">
        <v>333</v>
      </c>
    </row>
    <row r="5" spans="1:8" ht="13.5" thickBot="1">
      <c r="A5" s="233"/>
      <c r="B5" s="234" t="s">
        <v>335</v>
      </c>
      <c r="C5" s="48">
        <f>SUM(C6:C36)</f>
        <v>0</v>
      </c>
      <c r="D5" s="215"/>
      <c r="E5" s="216"/>
      <c r="F5" s="271" t="s">
        <v>329</v>
      </c>
      <c r="G5" s="275">
        <f>SUM(G6:G36)</f>
        <v>0</v>
      </c>
      <c r="H5" s="90"/>
    </row>
    <row r="6" spans="1:8">
      <c r="A6" s="49"/>
      <c r="B6" s="73" t="str">
        <f>IF(ISBLANK(A6),"",VLOOKUP(A6,Management!$A$6:$C$20,2,0))</f>
        <v/>
      </c>
      <c r="C6" s="80"/>
      <c r="D6" s="39"/>
      <c r="E6" s="39"/>
      <c r="F6" s="272"/>
      <c r="G6" s="270" t="str">
        <f>IF(ISBLANK(A6),"",IF(OR(ISBLANK(C6),ISBLANK(D6),ISBLANK(E6),ISBLANK(F6)),"Missing data",F6))</f>
        <v/>
      </c>
    </row>
    <row r="7" spans="1:8">
      <c r="A7" s="52"/>
      <c r="B7" s="74" t="str">
        <f>IF(ISBLANK(A7),"",VLOOKUP(A7,Management!$A$6:$C$20,2,0))</f>
        <v/>
      </c>
      <c r="C7" s="82"/>
      <c r="D7" s="41"/>
      <c r="E7" s="41"/>
      <c r="F7" s="273"/>
      <c r="G7" s="116" t="str">
        <f t="shared" ref="G7:G36" si="0">IF(ISBLANK(A7),"",IF(OR(ISBLANK(C7),ISBLANK(D7),ISBLANK(E7),ISBLANK(F7)),"Missing data",F7))</f>
        <v/>
      </c>
    </row>
    <row r="8" spans="1:8">
      <c r="A8" s="52"/>
      <c r="B8" s="74" t="str">
        <f>IF(ISBLANK(A8),"",VLOOKUP(A8,Management!$A$6:$C$20,2,0))</f>
        <v/>
      </c>
      <c r="C8" s="82"/>
      <c r="D8" s="41"/>
      <c r="E8" s="41"/>
      <c r="F8" s="273"/>
      <c r="G8" s="116" t="str">
        <f t="shared" si="0"/>
        <v/>
      </c>
    </row>
    <row r="9" spans="1:8">
      <c r="A9" s="52"/>
      <c r="B9" s="74" t="str">
        <f>IF(ISBLANK(A9),"",VLOOKUP(A9,Management!$A$6:$C$20,2,0))</f>
        <v/>
      </c>
      <c r="C9" s="82"/>
      <c r="D9" s="41"/>
      <c r="E9" s="41"/>
      <c r="F9" s="273"/>
      <c r="G9" s="116" t="str">
        <f t="shared" si="0"/>
        <v/>
      </c>
    </row>
    <row r="10" spans="1:8">
      <c r="A10" s="52"/>
      <c r="B10" s="74" t="str">
        <f>IF(ISBLANK(A10),"",VLOOKUP(A10,Management!$A$6:$C$20,2,0))</f>
        <v/>
      </c>
      <c r="C10" s="82"/>
      <c r="D10" s="41"/>
      <c r="E10" s="41"/>
      <c r="F10" s="273"/>
      <c r="G10" s="116" t="str">
        <f t="shared" si="0"/>
        <v/>
      </c>
    </row>
    <row r="11" spans="1:8">
      <c r="A11" s="52"/>
      <c r="B11" s="74" t="str">
        <f>IF(ISBLANK(A11),"",VLOOKUP(A11,Management!$A$6:$C$20,2,0))</f>
        <v/>
      </c>
      <c r="C11" s="82"/>
      <c r="D11" s="41"/>
      <c r="E11" s="41"/>
      <c r="F11" s="273"/>
      <c r="G11" s="116" t="str">
        <f t="shared" si="0"/>
        <v/>
      </c>
    </row>
    <row r="12" spans="1:8">
      <c r="A12" s="52"/>
      <c r="B12" s="74" t="str">
        <f>IF(ISBLANK(A12),"",VLOOKUP(A12,Management!$A$6:$C$20,2,0))</f>
        <v/>
      </c>
      <c r="C12" s="82"/>
      <c r="D12" s="41"/>
      <c r="E12" s="41"/>
      <c r="F12" s="273"/>
      <c r="G12" s="116" t="str">
        <f t="shared" si="0"/>
        <v/>
      </c>
    </row>
    <row r="13" spans="1:8">
      <c r="A13" s="52"/>
      <c r="B13" s="74" t="str">
        <f>IF(ISBLANK(A13),"",VLOOKUP(A13,Management!$A$6:$C$20,2,0))</f>
        <v/>
      </c>
      <c r="C13" s="82"/>
      <c r="D13" s="41"/>
      <c r="E13" s="41"/>
      <c r="F13" s="273"/>
      <c r="G13" s="116" t="str">
        <f t="shared" si="0"/>
        <v/>
      </c>
    </row>
    <row r="14" spans="1:8">
      <c r="A14" s="52"/>
      <c r="B14" s="74" t="str">
        <f>IF(ISBLANK(A14),"",VLOOKUP(A14,Management!$A$6:$C$20,2,0))</f>
        <v/>
      </c>
      <c r="C14" s="82"/>
      <c r="D14" s="41"/>
      <c r="E14" s="41"/>
      <c r="F14" s="273"/>
      <c r="G14" s="116" t="str">
        <f t="shared" si="0"/>
        <v/>
      </c>
    </row>
    <row r="15" spans="1:8">
      <c r="A15" s="52"/>
      <c r="B15" s="74" t="str">
        <f>IF(ISBLANK(A15),"",VLOOKUP(A15,Management!$A$6:$C$20,2,0))</f>
        <v/>
      </c>
      <c r="C15" s="82"/>
      <c r="D15" s="41"/>
      <c r="E15" s="41"/>
      <c r="F15" s="273"/>
      <c r="G15" s="116" t="str">
        <f t="shared" si="0"/>
        <v/>
      </c>
    </row>
    <row r="16" spans="1:8">
      <c r="A16" s="52"/>
      <c r="B16" s="74" t="str">
        <f>IF(ISBLANK(A16),"",VLOOKUP(A16,Management!$A$6:$C$20,2,0))</f>
        <v/>
      </c>
      <c r="C16" s="82"/>
      <c r="D16" s="41"/>
      <c r="E16" s="41"/>
      <c r="F16" s="273"/>
      <c r="G16" s="116" t="str">
        <f t="shared" si="0"/>
        <v/>
      </c>
    </row>
    <row r="17" spans="1:7">
      <c r="A17" s="52"/>
      <c r="B17" s="74" t="str">
        <f>IF(ISBLANK(A17),"",VLOOKUP(A17,Management!$A$6:$C$20,2,0))</f>
        <v/>
      </c>
      <c r="C17" s="82"/>
      <c r="D17" s="41"/>
      <c r="E17" s="41"/>
      <c r="F17" s="273"/>
      <c r="G17" s="116" t="str">
        <f t="shared" si="0"/>
        <v/>
      </c>
    </row>
    <row r="18" spans="1:7">
      <c r="A18" s="52"/>
      <c r="B18" s="74" t="str">
        <f>IF(ISBLANK(A18),"",VLOOKUP(A18,Management!$A$6:$C$20,2,0))</f>
        <v/>
      </c>
      <c r="C18" s="82"/>
      <c r="D18" s="41"/>
      <c r="E18" s="41"/>
      <c r="F18" s="273"/>
      <c r="G18" s="116" t="str">
        <f t="shared" si="0"/>
        <v/>
      </c>
    </row>
    <row r="19" spans="1:7">
      <c r="A19" s="52"/>
      <c r="B19" s="74" t="str">
        <f>IF(ISBLANK(A19),"",VLOOKUP(A19,Management!$A$6:$C$20,2,0))</f>
        <v/>
      </c>
      <c r="C19" s="82"/>
      <c r="D19" s="41"/>
      <c r="E19" s="41"/>
      <c r="F19" s="273"/>
      <c r="G19" s="116" t="str">
        <f t="shared" si="0"/>
        <v/>
      </c>
    </row>
    <row r="20" spans="1:7">
      <c r="A20" s="52"/>
      <c r="B20" s="74" t="str">
        <f>IF(ISBLANK(A20),"",VLOOKUP(A20,Management!$A$6:$C$20,2,0))</f>
        <v/>
      </c>
      <c r="C20" s="82"/>
      <c r="D20" s="41"/>
      <c r="E20" s="41"/>
      <c r="F20" s="273"/>
      <c r="G20" s="116" t="str">
        <f t="shared" si="0"/>
        <v/>
      </c>
    </row>
    <row r="21" spans="1:7">
      <c r="A21" s="52"/>
      <c r="B21" s="74" t="str">
        <f>IF(ISBLANK(A21),"",VLOOKUP(A21,Management!$A$6:$C$20,2,0))</f>
        <v/>
      </c>
      <c r="C21" s="82"/>
      <c r="D21" s="41"/>
      <c r="E21" s="41"/>
      <c r="F21" s="273"/>
      <c r="G21" s="116" t="str">
        <f t="shared" si="0"/>
        <v/>
      </c>
    </row>
    <row r="22" spans="1:7">
      <c r="A22" s="52"/>
      <c r="B22" s="74" t="str">
        <f>IF(ISBLANK(A22),"",VLOOKUP(A22,Management!$A$6:$C$20,2,0))</f>
        <v/>
      </c>
      <c r="C22" s="82"/>
      <c r="D22" s="41"/>
      <c r="E22" s="41"/>
      <c r="F22" s="273"/>
      <c r="G22" s="116" t="str">
        <f t="shared" si="0"/>
        <v/>
      </c>
    </row>
    <row r="23" spans="1:7">
      <c r="A23" s="52"/>
      <c r="B23" s="74" t="str">
        <f>IF(ISBLANK(A23),"",VLOOKUP(A23,Management!$A$6:$C$20,2,0))</f>
        <v/>
      </c>
      <c r="C23" s="82"/>
      <c r="D23" s="41"/>
      <c r="E23" s="41"/>
      <c r="F23" s="273"/>
      <c r="G23" s="116" t="str">
        <f t="shared" si="0"/>
        <v/>
      </c>
    </row>
    <row r="24" spans="1:7">
      <c r="A24" s="52"/>
      <c r="B24" s="74" t="str">
        <f>IF(ISBLANK(A24),"",VLOOKUP(A24,Management!$A$6:$C$20,2,0))</f>
        <v/>
      </c>
      <c r="C24" s="82"/>
      <c r="D24" s="41"/>
      <c r="E24" s="41"/>
      <c r="F24" s="273"/>
      <c r="G24" s="116" t="str">
        <f t="shared" si="0"/>
        <v/>
      </c>
    </row>
    <row r="25" spans="1:7">
      <c r="A25" s="52"/>
      <c r="B25" s="74" t="str">
        <f>IF(ISBLANK(A25),"",VLOOKUP(A25,Management!$A$6:$C$20,2,0))</f>
        <v/>
      </c>
      <c r="C25" s="82"/>
      <c r="D25" s="41"/>
      <c r="E25" s="41"/>
      <c r="F25" s="273"/>
      <c r="G25" s="116" t="str">
        <f t="shared" si="0"/>
        <v/>
      </c>
    </row>
    <row r="26" spans="1:7">
      <c r="A26" s="52"/>
      <c r="B26" s="74" t="str">
        <f>IF(ISBLANK(A26),"",VLOOKUP(A26,Management!$A$6:$C$20,2,0))</f>
        <v/>
      </c>
      <c r="C26" s="82"/>
      <c r="D26" s="41"/>
      <c r="E26" s="41"/>
      <c r="F26" s="273"/>
      <c r="G26" s="116" t="str">
        <f t="shared" si="0"/>
        <v/>
      </c>
    </row>
    <row r="27" spans="1:7">
      <c r="A27" s="52"/>
      <c r="B27" s="74" t="str">
        <f>IF(ISBLANK(A27),"",VLOOKUP(A27,Management!$A$6:$C$20,2,0))</f>
        <v/>
      </c>
      <c r="C27" s="82"/>
      <c r="D27" s="41"/>
      <c r="E27" s="41"/>
      <c r="F27" s="273"/>
      <c r="G27" s="116" t="str">
        <f t="shared" si="0"/>
        <v/>
      </c>
    </row>
    <row r="28" spans="1:7">
      <c r="A28" s="52"/>
      <c r="B28" s="74" t="str">
        <f>IF(ISBLANK(A28),"",VLOOKUP(A28,Management!$A$6:$C$20,2,0))</f>
        <v/>
      </c>
      <c r="C28" s="82"/>
      <c r="D28" s="41"/>
      <c r="E28" s="41"/>
      <c r="F28" s="273"/>
      <c r="G28" s="116" t="str">
        <f t="shared" si="0"/>
        <v/>
      </c>
    </row>
    <row r="29" spans="1:7">
      <c r="A29" s="52"/>
      <c r="B29" s="74" t="str">
        <f>IF(ISBLANK(A29),"",VLOOKUP(A29,Management!$A$6:$C$20,2,0))</f>
        <v/>
      </c>
      <c r="C29" s="82"/>
      <c r="D29" s="41"/>
      <c r="E29" s="41"/>
      <c r="F29" s="273"/>
      <c r="G29" s="116" t="str">
        <f t="shared" si="0"/>
        <v/>
      </c>
    </row>
    <row r="30" spans="1:7">
      <c r="A30" s="52"/>
      <c r="B30" s="74" t="str">
        <f>IF(ISBLANK(A30),"",VLOOKUP(A30,Management!$A$6:$C$20,2,0))</f>
        <v/>
      </c>
      <c r="C30" s="82"/>
      <c r="D30" s="41"/>
      <c r="E30" s="41"/>
      <c r="F30" s="273"/>
      <c r="G30" s="116" t="str">
        <f t="shared" si="0"/>
        <v/>
      </c>
    </row>
    <row r="31" spans="1:7">
      <c r="A31" s="52"/>
      <c r="B31" s="74" t="str">
        <f>IF(ISBLANK(A31),"",VLOOKUP(A31,Management!$A$6:$C$20,2,0))</f>
        <v/>
      </c>
      <c r="C31" s="82"/>
      <c r="D31" s="41"/>
      <c r="E31" s="41"/>
      <c r="F31" s="273"/>
      <c r="G31" s="116" t="str">
        <f t="shared" si="0"/>
        <v/>
      </c>
    </row>
    <row r="32" spans="1:7">
      <c r="A32" s="52"/>
      <c r="B32" s="74" t="str">
        <f>IF(ISBLANK(A32),"",VLOOKUP(A32,Management!$A$6:$C$20,2,0))</f>
        <v/>
      </c>
      <c r="C32" s="82"/>
      <c r="D32" s="41"/>
      <c r="E32" s="41"/>
      <c r="F32" s="273"/>
      <c r="G32" s="116" t="str">
        <f t="shared" si="0"/>
        <v/>
      </c>
    </row>
    <row r="33" spans="1:7">
      <c r="A33" s="52"/>
      <c r="B33" s="74" t="str">
        <f>IF(ISBLANK(A33),"",VLOOKUP(A33,Management!$A$6:$C$20,2,0))</f>
        <v/>
      </c>
      <c r="C33" s="82"/>
      <c r="D33" s="41"/>
      <c r="E33" s="41"/>
      <c r="F33" s="273"/>
      <c r="G33" s="116" t="str">
        <f t="shared" si="0"/>
        <v/>
      </c>
    </row>
    <row r="34" spans="1:7">
      <c r="A34" s="52"/>
      <c r="B34" s="74" t="str">
        <f>IF(ISBLANK(A34),"",VLOOKUP(A34,Management!$A$6:$C$20,2,0))</f>
        <v/>
      </c>
      <c r="C34" s="82"/>
      <c r="D34" s="41"/>
      <c r="E34" s="41"/>
      <c r="F34" s="273"/>
      <c r="G34" s="116" t="str">
        <f t="shared" si="0"/>
        <v/>
      </c>
    </row>
    <row r="35" spans="1:7">
      <c r="A35" s="52"/>
      <c r="B35" s="74" t="str">
        <f>IF(ISBLANK(A35),"",VLOOKUP(A35,Management!$A$6:$C$20,2,0))</f>
        <v/>
      </c>
      <c r="C35" s="82"/>
      <c r="D35" s="41"/>
      <c r="E35" s="41"/>
      <c r="F35" s="273"/>
      <c r="G35" s="116" t="str">
        <f t="shared" si="0"/>
        <v/>
      </c>
    </row>
    <row r="36" spans="1:7" ht="13.5" thickBot="1">
      <c r="A36" s="55"/>
      <c r="B36" s="56" t="str">
        <f>IF(ISBLANK(A36),"",VLOOKUP(A36,Management!$A$6:$C$20,2,0))</f>
        <v/>
      </c>
      <c r="C36" s="84"/>
      <c r="D36" s="45"/>
      <c r="E36" s="45"/>
      <c r="F36" s="274"/>
      <c r="G36" s="120" t="str">
        <f t="shared" si="0"/>
        <v/>
      </c>
    </row>
  </sheetData>
  <sheetProtection password="CF02" sheet="1" objects="1" scenarios="1" sort="0" autoFilter="0"/>
  <phoneticPr fontId="7" type="noConversion"/>
  <dataValidations count="1">
    <dataValidation type="list" allowBlank="1" showInputMessage="1" showErrorMessage="1" sqref="A6:A36">
      <formula1>Partners</formula1>
    </dataValidation>
  </dataValidations>
  <printOptions horizontalCentered="1"/>
  <pageMargins left="0.78740157480314965" right="0.78740157480314965" top="0.8125" bottom="0.62992125984251968" header="0.51181102362204722" footer="0.51181102362204722"/>
  <pageSetup paperSize="9" scale="99" orientation="landscape" r:id="rId1"/>
  <headerFooter>
    <oddHeader>&amp;C&amp;11 2016. E+ KA204&amp;RVersion: 2016.01.17. - TKA</oddHeader>
    <oddFooter>&amp;C&amp;"Arial,Félkövér"&amp;A</oddFooter>
  </headerFooter>
  <rowBreaks count="1" manualBreakCount="1">
    <brk id="3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52"/>
    <pageSetUpPr fitToPage="1"/>
  </sheetPr>
  <dimension ref="A1:J21"/>
  <sheetViews>
    <sheetView zoomScale="120" zoomScaleNormal="120" zoomScaleSheetLayoutView="100" zoomScalePageLayoutView="120" workbookViewId="0">
      <selection activeCell="C1" sqref="C1:I1"/>
    </sheetView>
  </sheetViews>
  <sheetFormatPr defaultColWidth="8.85546875" defaultRowHeight="12.75"/>
  <cols>
    <col min="1" max="1" width="7.42578125" style="122" customWidth="1"/>
    <col min="2" max="2" width="12.85546875" style="66" customWidth="1"/>
    <col min="3" max="7" width="11.42578125" style="66" customWidth="1"/>
    <col min="8" max="8" width="11.42578125" style="66" bestFit="1" customWidth="1"/>
    <col min="9" max="9" width="11.42578125" style="66" customWidth="1"/>
    <col min="10" max="10" width="33" style="25" bestFit="1" customWidth="1"/>
    <col min="11" max="16384" width="8.85546875" style="66"/>
  </cols>
  <sheetData>
    <row r="1" spans="1:10" s="104" customFormat="1" ht="15.75" customHeight="1">
      <c r="A1" s="547" t="s">
        <v>49</v>
      </c>
      <c r="B1" s="547"/>
      <c r="C1" s="548" t="str">
        <f>IF(ISBLANK(Overview!C3),"",Overview!C3)</f>
        <v/>
      </c>
      <c r="D1" s="548"/>
      <c r="E1" s="548"/>
      <c r="F1" s="548"/>
      <c r="G1" s="548"/>
      <c r="H1" s="548"/>
      <c r="I1" s="548"/>
      <c r="J1" s="25"/>
    </row>
    <row r="2" spans="1:10" s="104" customFormat="1" ht="15.75">
      <c r="A2" s="195" t="s">
        <v>0</v>
      </c>
      <c r="B2" s="194"/>
      <c r="C2" s="194"/>
      <c r="D2" s="194"/>
      <c r="E2" s="194"/>
      <c r="F2" s="194"/>
      <c r="G2" s="194"/>
      <c r="H2" s="194"/>
      <c r="I2" s="257"/>
      <c r="J2" s="25"/>
    </row>
    <row r="3" spans="1:10" s="21" customFormat="1" ht="12.75" customHeight="1" thickBot="1">
      <c r="A3" s="194"/>
      <c r="B3" s="194"/>
      <c r="C3" s="194"/>
      <c r="D3" s="194"/>
      <c r="E3" s="194"/>
      <c r="F3" s="194"/>
      <c r="G3" s="194"/>
      <c r="H3" s="194"/>
      <c r="I3" s="194"/>
    </row>
    <row r="4" spans="1:10" s="69" customFormat="1" ht="13.5" thickBot="1">
      <c r="A4" s="549" t="s">
        <v>140</v>
      </c>
      <c r="B4" s="550"/>
      <c r="C4" s="550"/>
      <c r="D4" s="550"/>
      <c r="E4" s="550"/>
      <c r="F4" s="550"/>
      <c r="G4" s="550"/>
      <c r="H4" s="550"/>
      <c r="I4" s="551"/>
      <c r="J4" s="105"/>
    </row>
    <row r="5" spans="1:10" s="67" customFormat="1" ht="51.75" thickBot="1">
      <c r="A5" s="253" t="s">
        <v>319</v>
      </c>
      <c r="B5" s="199" t="s">
        <v>118</v>
      </c>
      <c r="C5" s="254" t="s">
        <v>137</v>
      </c>
      <c r="D5" s="254" t="s">
        <v>139</v>
      </c>
      <c r="E5" s="254" t="s">
        <v>157</v>
      </c>
      <c r="F5" s="255" t="s">
        <v>119</v>
      </c>
      <c r="G5" s="254" t="s">
        <v>138</v>
      </c>
      <c r="H5" s="254" t="s">
        <v>120</v>
      </c>
      <c r="I5" s="254" t="s">
        <v>141</v>
      </c>
      <c r="J5" s="106"/>
    </row>
    <row r="6" spans="1:10" s="108" customFormat="1" ht="13.5" thickBot="1">
      <c r="A6" s="256" t="s">
        <v>339</v>
      </c>
      <c r="B6" s="302">
        <f>IF(Management!F5="",Management!E5,"ERROR")</f>
        <v>0</v>
      </c>
      <c r="C6" s="302">
        <f>IF('Partner meetings'!K6="",'Partner meetings'!J6,"ERROR")</f>
        <v>0</v>
      </c>
      <c r="D6" s="302">
        <f>'Intellectual outputs'!E7</f>
        <v>0</v>
      </c>
      <c r="E6" s="302">
        <f>IF('Multiplier events'!I5="",'Multiplier events'!H5,"ERROR")</f>
        <v>0</v>
      </c>
      <c r="F6" s="302">
        <f>'VET Transnat. training-teaching'!$S$6+'SE Transnat. training-teaching'!$S$6+'Youth Transnat. training-teach'!$S$6+'AE Transnat. training-teaching'!$S$6+'HE Transnat. training-teaching'!$S$6</f>
        <v>0</v>
      </c>
      <c r="G6" s="302">
        <f>IF('Exceptional costs'!G5="",'Exceptional costs'!F5,"ERROR")</f>
        <v>0</v>
      </c>
      <c r="H6" s="302">
        <f>'Special needs'!G5</f>
        <v>0</v>
      </c>
      <c r="I6" s="303">
        <f>IF(SUM(B6:H6)&lt;&gt;SUM(I7:I21),"ERROR",SUM(I7:I21))</f>
        <v>0</v>
      </c>
      <c r="J6" s="107" t="str">
        <f>IF(SUM(I7:I21)&gt;Overview!C13,"ERROR: Grant calculated is over the limit!","")</f>
        <v/>
      </c>
    </row>
    <row r="7" spans="1:10" s="108" customFormat="1">
      <c r="A7" s="109" t="str">
        <f>IF(ISBLANK(Management!A6),"",Management!A6)</f>
        <v/>
      </c>
      <c r="B7" s="110" t="str">
        <f>Management!E6</f>
        <v>Missing data</v>
      </c>
      <c r="C7" s="110">
        <f>SUMIF('Partner meetings'!$A$7:$A$108,A7,'Partner meetings'!$J$7:$J$108)</f>
        <v>0</v>
      </c>
      <c r="D7" s="110">
        <f>SUMIF('Intellectual outputs'!$A$8:$A$109,A7,'Intellectual outputs'!$E$8:$E$109)</f>
        <v>0</v>
      </c>
      <c r="E7" s="111">
        <f>SUMIF('Multiplier events'!$A$6:$A$36,A7,'Multiplier events'!$H$6:$H$36)</f>
        <v>0</v>
      </c>
      <c r="F7" s="111">
        <f>SUMIF('VET Transnat. training-teaching'!$A$7:$A$37,$A7,'VET Transnat. training-teaching'!$S$7:$S$37)+SUMIF('SE Transnat. training-teaching'!$A$7:$A$37,$A7,'SE Transnat. training-teaching'!$S$7:$S$37) +SUMIF('Youth Transnat. training-teach'!$A$7:$A$37,$A7,'Youth Transnat. training-teach'!$S$7:$S$37) +SUMIF('AE Transnat. training-teaching'!$A$7:$A$37,$A7,'AE Transnat. training-teaching'!$S$7:$S$37) +SUMIF('HE Transnat. training-teaching'!$A$7:$A$37,$A7,'HE Transnat. training-teaching'!$S$7:$S$37)</f>
        <v>0</v>
      </c>
      <c r="G7" s="111">
        <f>SUMIF('Exceptional costs'!$A$6:$A$36,A7,'Exceptional costs'!$F$6:$F$36)</f>
        <v>0</v>
      </c>
      <c r="H7" s="111">
        <f>SUMIF('Special needs'!$A$6:$A$36,A7,'Special needs'!$G$6:$G$36)</f>
        <v>0</v>
      </c>
      <c r="I7" s="112">
        <f t="shared" ref="I7:I21" si="0">SUM(B7:H7)</f>
        <v>0</v>
      </c>
      <c r="J7" s="113"/>
    </row>
    <row r="8" spans="1:10" s="108" customFormat="1">
      <c r="A8" s="114" t="str">
        <f>IF(ISBLANK(Management!A7),"",Management!A7)</f>
        <v/>
      </c>
      <c r="B8" s="115" t="str">
        <f>Management!E7</f>
        <v/>
      </c>
      <c r="C8" s="110">
        <f>SUMIF('Partner meetings'!$A$7:$A$108,A8,'Partner meetings'!$J$7:$J$108)</f>
        <v>0</v>
      </c>
      <c r="D8" s="115">
        <f>SUMIF('Intellectual outputs'!$A$8:$A$109,A8,'Intellectual outputs'!$E$8:$E$109)</f>
        <v>0</v>
      </c>
      <c r="E8" s="116">
        <f>SUMIF('Multiplier events'!$A$6:$A$36,A8,'Multiplier events'!$H$6:$H$36)</f>
        <v>0</v>
      </c>
      <c r="F8" s="116">
        <f>SUMIF('VET Transnat. training-teaching'!$A$7:$A$37,$A8,'VET Transnat. training-teaching'!$S$7:$S$37)+SUMIF('SE Transnat. training-teaching'!$A$7:$A$37,$A8,'SE Transnat. training-teaching'!$S$7:$S$37) +SUMIF('Youth Transnat. training-teach'!$A$7:$A$37,$A8,'Youth Transnat. training-teach'!$S$7:$S$37) +SUMIF('AE Transnat. training-teaching'!$A$7:$A$37,$A8,'AE Transnat. training-teaching'!$S$7:$S$37) +SUMIF('HE Transnat. training-teaching'!$A$7:$A$37,$A8,'HE Transnat. training-teaching'!$S$7:$S$37)</f>
        <v>0</v>
      </c>
      <c r="G8" s="116">
        <f>SUMIF('Exceptional costs'!$A$6:$A$36,A8,'Exceptional costs'!$F$6:$F$36)</f>
        <v>0</v>
      </c>
      <c r="H8" s="116">
        <f>SUMIF('Special needs'!$A$6:$A$36,A8,'Special needs'!$G$6:$G$36)</f>
        <v>0</v>
      </c>
      <c r="I8" s="117">
        <f t="shared" si="0"/>
        <v>0</v>
      </c>
      <c r="J8" s="113"/>
    </row>
    <row r="9" spans="1:10" s="108" customFormat="1">
      <c r="A9" s="114" t="str">
        <f>IF(ISBLANK(Management!A8),"",Management!A8)</f>
        <v/>
      </c>
      <c r="B9" s="115" t="str">
        <f>Management!E8</f>
        <v/>
      </c>
      <c r="C9" s="110">
        <f>SUMIF('Partner meetings'!$A$7:$A$108,A9,'Partner meetings'!$J$7:$J$108)</f>
        <v>0</v>
      </c>
      <c r="D9" s="115">
        <f>SUMIF('Intellectual outputs'!$A$8:$A$109,A9,'Intellectual outputs'!$E$8:$E$109)</f>
        <v>0</v>
      </c>
      <c r="E9" s="116">
        <f>SUMIF('Multiplier events'!$A$6:$A$36,A9,'Multiplier events'!$H$6:$H$36)</f>
        <v>0</v>
      </c>
      <c r="F9" s="116">
        <f>SUMIF('VET Transnat. training-teaching'!$A$7:$A$37,$A9,'VET Transnat. training-teaching'!$S$7:$S$37)+SUMIF('SE Transnat. training-teaching'!$A$7:$A$37,$A9,'SE Transnat. training-teaching'!$S$7:$S$37) +SUMIF('Youth Transnat. training-teach'!$A$7:$A$37,$A9,'Youth Transnat. training-teach'!$S$7:$S$37) +SUMIF('AE Transnat. training-teaching'!$A$7:$A$37,$A9,'AE Transnat. training-teaching'!$S$7:$S$37) +SUMIF('HE Transnat. training-teaching'!$A$7:$A$37,$A9,'HE Transnat. training-teaching'!$S$7:$S$37)</f>
        <v>0</v>
      </c>
      <c r="G9" s="116">
        <f>SUMIF('Exceptional costs'!$A$6:$A$36,A9,'Exceptional costs'!$F$6:$F$36)</f>
        <v>0</v>
      </c>
      <c r="H9" s="116">
        <f>SUMIF('Special needs'!$A$6:$A$36,A9,'Special needs'!$G$6:$G$36)</f>
        <v>0</v>
      </c>
      <c r="I9" s="117">
        <f t="shared" si="0"/>
        <v>0</v>
      </c>
      <c r="J9" s="113"/>
    </row>
    <row r="10" spans="1:10" s="108" customFormat="1">
      <c r="A10" s="114" t="str">
        <f>IF(ISBLANK(Management!A9),"",Management!A9)</f>
        <v/>
      </c>
      <c r="B10" s="115" t="str">
        <f>Management!E9</f>
        <v/>
      </c>
      <c r="C10" s="110">
        <f>SUMIF('Partner meetings'!$A$7:$A$108,A10,'Partner meetings'!$J$7:$J$108)</f>
        <v>0</v>
      </c>
      <c r="D10" s="115">
        <f>SUMIF('Intellectual outputs'!$A$8:$A$109,A10,'Intellectual outputs'!$E$8:$E$109)</f>
        <v>0</v>
      </c>
      <c r="E10" s="116">
        <f>SUMIF('Multiplier events'!$A$6:$A$36,A10,'Multiplier events'!$H$6:$H$36)</f>
        <v>0</v>
      </c>
      <c r="F10" s="116">
        <f>SUMIF('VET Transnat. training-teaching'!$A$7:$A$37,$A10,'VET Transnat. training-teaching'!$S$7:$S$37)+SUMIF('SE Transnat. training-teaching'!$A$7:$A$37,$A10,'SE Transnat. training-teaching'!$S$7:$S$37) +SUMIF('Youth Transnat. training-teach'!$A$7:$A$37,$A10,'Youth Transnat. training-teach'!$S$7:$S$37) +SUMIF('AE Transnat. training-teaching'!$A$7:$A$37,$A10,'AE Transnat. training-teaching'!$S$7:$S$37) +SUMIF('HE Transnat. training-teaching'!$A$7:$A$37,$A10,'HE Transnat. training-teaching'!$S$7:$S$37)</f>
        <v>0</v>
      </c>
      <c r="G10" s="116">
        <f>SUMIF('Exceptional costs'!$A$6:$A$36,A10,'Exceptional costs'!$F$6:$F$36)</f>
        <v>0</v>
      </c>
      <c r="H10" s="116">
        <f>SUMIF('Special needs'!$A$6:$A$36,A10,'Special needs'!$G$6:$G$36)</f>
        <v>0</v>
      </c>
      <c r="I10" s="117">
        <f t="shared" si="0"/>
        <v>0</v>
      </c>
      <c r="J10" s="113"/>
    </row>
    <row r="11" spans="1:10" s="108" customFormat="1">
      <c r="A11" s="114" t="str">
        <f>IF(ISBLANK(Management!A10),"",Management!A10)</f>
        <v/>
      </c>
      <c r="B11" s="115" t="str">
        <f>Management!E10</f>
        <v/>
      </c>
      <c r="C11" s="110">
        <f>SUMIF('Partner meetings'!$A$7:$A$108,A11,'Partner meetings'!$J$7:$J$108)</f>
        <v>0</v>
      </c>
      <c r="D11" s="115">
        <f>SUMIF('Intellectual outputs'!$A$8:$A$109,A11,'Intellectual outputs'!$E$8:$E$109)</f>
        <v>0</v>
      </c>
      <c r="E11" s="116">
        <f>SUMIF('Multiplier events'!$A$6:$A$36,A11,'Multiplier events'!$H$6:$H$36)</f>
        <v>0</v>
      </c>
      <c r="F11" s="116">
        <f>SUMIF('VET Transnat. training-teaching'!$A$7:$A$37,$A11,'VET Transnat. training-teaching'!$S$7:$S$37)+SUMIF('SE Transnat. training-teaching'!$A$7:$A$37,$A11,'SE Transnat. training-teaching'!$S$7:$S$37) +SUMIF('Youth Transnat. training-teach'!$A$7:$A$37,$A11,'Youth Transnat. training-teach'!$S$7:$S$37) +SUMIF('AE Transnat. training-teaching'!$A$7:$A$37,$A11,'AE Transnat. training-teaching'!$S$7:$S$37) +SUMIF('HE Transnat. training-teaching'!$A$7:$A$37,$A11,'HE Transnat. training-teaching'!$S$7:$S$37)</f>
        <v>0</v>
      </c>
      <c r="G11" s="116">
        <f>SUMIF('Exceptional costs'!$A$6:$A$36,A11,'Exceptional costs'!$F$6:$F$36)</f>
        <v>0</v>
      </c>
      <c r="H11" s="116">
        <f>SUMIF('Special needs'!$A$6:$A$36,A11,'Special needs'!$G$6:$G$36)</f>
        <v>0</v>
      </c>
      <c r="I11" s="117">
        <f t="shared" si="0"/>
        <v>0</v>
      </c>
      <c r="J11" s="113"/>
    </row>
    <row r="12" spans="1:10" s="108" customFormat="1">
      <c r="A12" s="114" t="str">
        <f>IF(ISBLANK(Management!A11),"",Management!A11)</f>
        <v/>
      </c>
      <c r="B12" s="115" t="str">
        <f>Management!E11</f>
        <v/>
      </c>
      <c r="C12" s="110">
        <f>SUMIF('Partner meetings'!$A$7:$A$108,A12,'Partner meetings'!$J$7:$J$108)</f>
        <v>0</v>
      </c>
      <c r="D12" s="115">
        <f>SUMIF('Intellectual outputs'!$A$8:$A$109,A12,'Intellectual outputs'!$E$8:$E$109)</f>
        <v>0</v>
      </c>
      <c r="E12" s="116">
        <f>SUMIF('Multiplier events'!$A$6:$A$36,A12,'Multiplier events'!$H$6:$H$36)</f>
        <v>0</v>
      </c>
      <c r="F12" s="116">
        <f>SUMIF('VET Transnat. training-teaching'!$A$7:$A$37,$A12,'VET Transnat. training-teaching'!$S$7:$S$37)+SUMIF('SE Transnat. training-teaching'!$A$7:$A$37,$A12,'SE Transnat. training-teaching'!$S$7:$S$37) +SUMIF('Youth Transnat. training-teach'!$A$7:$A$37,$A12,'Youth Transnat. training-teach'!$S$7:$S$37) +SUMIF('AE Transnat. training-teaching'!$A$7:$A$37,$A12,'AE Transnat. training-teaching'!$S$7:$S$37) +SUMIF('HE Transnat. training-teaching'!$A$7:$A$37,$A12,'HE Transnat. training-teaching'!$S$7:$S$37)</f>
        <v>0</v>
      </c>
      <c r="G12" s="116">
        <f>SUMIF('Exceptional costs'!$A$6:$A$36,A12,'Exceptional costs'!$F$6:$F$36)</f>
        <v>0</v>
      </c>
      <c r="H12" s="116">
        <f>SUMIF('Special needs'!$A$6:$A$36,A12,'Special needs'!$G$6:$G$36)</f>
        <v>0</v>
      </c>
      <c r="I12" s="117">
        <f t="shared" si="0"/>
        <v>0</v>
      </c>
      <c r="J12" s="113"/>
    </row>
    <row r="13" spans="1:10" s="108" customFormat="1">
      <c r="A13" s="114" t="str">
        <f>IF(ISBLANK(Management!A12),"",Management!A12)</f>
        <v/>
      </c>
      <c r="B13" s="115" t="str">
        <f>Management!E12</f>
        <v/>
      </c>
      <c r="C13" s="110">
        <f>SUMIF('Partner meetings'!$A$7:$A$108,A13,'Partner meetings'!$J$7:$J$108)</f>
        <v>0</v>
      </c>
      <c r="D13" s="115">
        <f>SUMIF('Intellectual outputs'!$A$8:$A$109,A13,'Intellectual outputs'!$E$8:$E$109)</f>
        <v>0</v>
      </c>
      <c r="E13" s="116">
        <f>SUMIF('Multiplier events'!$A$6:$A$36,A13,'Multiplier events'!$H$6:$H$36)</f>
        <v>0</v>
      </c>
      <c r="F13" s="116">
        <f>SUMIF('VET Transnat. training-teaching'!$A$7:$A$37,$A13,'VET Transnat. training-teaching'!$S$7:$S$37)+SUMIF('SE Transnat. training-teaching'!$A$7:$A$37,$A13,'SE Transnat. training-teaching'!$S$7:$S$37) +SUMIF('Youth Transnat. training-teach'!$A$7:$A$37,$A13,'Youth Transnat. training-teach'!$S$7:$S$37) +SUMIF('AE Transnat. training-teaching'!$A$7:$A$37,$A13,'AE Transnat. training-teaching'!$S$7:$S$37) +SUMIF('HE Transnat. training-teaching'!$A$7:$A$37,$A13,'HE Transnat. training-teaching'!$S$7:$S$37)</f>
        <v>0</v>
      </c>
      <c r="G13" s="116">
        <f>SUMIF('Exceptional costs'!$A$6:$A$36,A13,'Exceptional costs'!$F$6:$F$36)</f>
        <v>0</v>
      </c>
      <c r="H13" s="116">
        <f>SUMIF('Special needs'!$A$6:$A$36,A13,'Special needs'!$G$6:$G$36)</f>
        <v>0</v>
      </c>
      <c r="I13" s="117">
        <f t="shared" si="0"/>
        <v>0</v>
      </c>
      <c r="J13" s="113"/>
    </row>
    <row r="14" spans="1:10" s="108" customFormat="1">
      <c r="A14" s="114" t="str">
        <f>IF(ISBLANK(Management!A13),"",Management!A13)</f>
        <v/>
      </c>
      <c r="B14" s="115" t="str">
        <f>Management!E13</f>
        <v/>
      </c>
      <c r="C14" s="110">
        <f>SUMIF('Partner meetings'!$A$7:$A$108,A14,'Partner meetings'!$J$7:$J$108)</f>
        <v>0</v>
      </c>
      <c r="D14" s="115">
        <f>SUMIF('Intellectual outputs'!$A$8:$A$109,A14,'Intellectual outputs'!$E$8:$E$109)</f>
        <v>0</v>
      </c>
      <c r="E14" s="116">
        <f>SUMIF('Multiplier events'!$A$6:$A$36,A14,'Multiplier events'!$H$6:$H$36)</f>
        <v>0</v>
      </c>
      <c r="F14" s="116">
        <f>SUMIF('VET Transnat. training-teaching'!$A$7:$A$37,$A14,'VET Transnat. training-teaching'!$S$7:$S$37)+SUMIF('SE Transnat. training-teaching'!$A$7:$A$37,$A14,'SE Transnat. training-teaching'!$S$7:$S$37) +SUMIF('Youth Transnat. training-teach'!$A$7:$A$37,$A14,'Youth Transnat. training-teach'!$S$7:$S$37) +SUMIF('AE Transnat. training-teaching'!$A$7:$A$37,$A14,'AE Transnat. training-teaching'!$S$7:$S$37) +SUMIF('HE Transnat. training-teaching'!$A$7:$A$37,$A14,'HE Transnat. training-teaching'!$S$7:$S$37)</f>
        <v>0</v>
      </c>
      <c r="G14" s="116">
        <f>SUMIF('Exceptional costs'!$A$6:$A$36,A14,'Exceptional costs'!$F$6:$F$36)</f>
        <v>0</v>
      </c>
      <c r="H14" s="116">
        <f>SUMIF('Special needs'!$A$6:$A$36,A14,'Special needs'!$G$6:$G$36)</f>
        <v>0</v>
      </c>
      <c r="I14" s="117">
        <f t="shared" si="0"/>
        <v>0</v>
      </c>
      <c r="J14" s="113"/>
    </row>
    <row r="15" spans="1:10" s="108" customFormat="1">
      <c r="A15" s="114" t="str">
        <f>IF(ISBLANK(Management!A14),"",Management!A14)</f>
        <v/>
      </c>
      <c r="B15" s="115" t="str">
        <f>Management!E14</f>
        <v/>
      </c>
      <c r="C15" s="110">
        <f>SUMIF('Partner meetings'!$A$7:$A$108,A15,'Partner meetings'!$J$7:$J$108)</f>
        <v>0</v>
      </c>
      <c r="D15" s="115">
        <f>SUMIF('Intellectual outputs'!$A$8:$A$109,A15,'Intellectual outputs'!$E$8:$E$109)</f>
        <v>0</v>
      </c>
      <c r="E15" s="116">
        <f>SUMIF('Multiplier events'!$A$6:$A$36,A15,'Multiplier events'!$H$6:$H$36)</f>
        <v>0</v>
      </c>
      <c r="F15" s="116">
        <f>SUMIF('VET Transnat. training-teaching'!$A$7:$A$37,$A15,'VET Transnat. training-teaching'!$S$7:$S$37)+SUMIF('SE Transnat. training-teaching'!$A$7:$A$37,$A15,'SE Transnat. training-teaching'!$S$7:$S$37) +SUMIF('Youth Transnat. training-teach'!$A$7:$A$37,$A15,'Youth Transnat. training-teach'!$S$7:$S$37) +SUMIF('AE Transnat. training-teaching'!$A$7:$A$37,$A15,'AE Transnat. training-teaching'!$S$7:$S$37) +SUMIF('HE Transnat. training-teaching'!$A$7:$A$37,$A15,'HE Transnat. training-teaching'!$S$7:$S$37)</f>
        <v>0</v>
      </c>
      <c r="G15" s="116">
        <f>SUMIF('Exceptional costs'!$A$6:$A$36,A15,'Exceptional costs'!$F$6:$F$36)</f>
        <v>0</v>
      </c>
      <c r="H15" s="116">
        <f>SUMIF('Special needs'!$A$6:$A$36,A15,'Special needs'!$G$6:$G$36)</f>
        <v>0</v>
      </c>
      <c r="I15" s="117">
        <f t="shared" si="0"/>
        <v>0</v>
      </c>
      <c r="J15" s="113"/>
    </row>
    <row r="16" spans="1:10" s="108" customFormat="1">
      <c r="A16" s="114" t="str">
        <f>IF(ISBLANK(Management!A15),"",Management!A15)</f>
        <v/>
      </c>
      <c r="B16" s="115" t="str">
        <f>Management!E15</f>
        <v/>
      </c>
      <c r="C16" s="110">
        <f>SUMIF('Partner meetings'!$A$7:$A$108,A16,'Partner meetings'!$J$7:$J$108)</f>
        <v>0</v>
      </c>
      <c r="D16" s="115">
        <f>SUMIF('Intellectual outputs'!$A$8:$A$109,A16,'Intellectual outputs'!$E$8:$E$109)</f>
        <v>0</v>
      </c>
      <c r="E16" s="116">
        <f>SUMIF('Multiplier events'!$A$6:$A$36,A16,'Multiplier events'!$H$6:$H$36)</f>
        <v>0</v>
      </c>
      <c r="F16" s="116">
        <f>SUMIF('VET Transnat. training-teaching'!$A$7:$A$37,$A16,'VET Transnat. training-teaching'!$S$7:$S$37)+SUMIF('SE Transnat. training-teaching'!$A$7:$A$37,$A16,'SE Transnat. training-teaching'!$S$7:$S$37) +SUMIF('Youth Transnat. training-teach'!$A$7:$A$37,$A16,'Youth Transnat. training-teach'!$S$7:$S$37) +SUMIF('AE Transnat. training-teaching'!$A$7:$A$37,$A16,'AE Transnat. training-teaching'!$S$7:$S$37) +SUMIF('HE Transnat. training-teaching'!$A$7:$A$37,$A16,'HE Transnat. training-teaching'!$S$7:$S$37)</f>
        <v>0</v>
      </c>
      <c r="G16" s="116">
        <f>SUMIF('Exceptional costs'!$A$6:$A$36,A16,'Exceptional costs'!$F$6:$F$36)</f>
        <v>0</v>
      </c>
      <c r="H16" s="116">
        <f>SUMIF('Special needs'!$A$6:$A$36,A16,'Special needs'!$G$6:$G$36)</f>
        <v>0</v>
      </c>
      <c r="I16" s="117">
        <f t="shared" si="0"/>
        <v>0</v>
      </c>
      <c r="J16" s="113"/>
    </row>
    <row r="17" spans="1:10" s="108" customFormat="1">
      <c r="A17" s="114" t="str">
        <f>IF(ISBLANK(Management!A16),"",Management!A16)</f>
        <v/>
      </c>
      <c r="B17" s="115" t="str">
        <f>Management!E16</f>
        <v/>
      </c>
      <c r="C17" s="110">
        <f>SUMIF('Partner meetings'!$A$7:$A$108,A17,'Partner meetings'!$J$7:$J$108)</f>
        <v>0</v>
      </c>
      <c r="D17" s="115">
        <f>SUMIF('Intellectual outputs'!$A$8:$A$109,A17,'Intellectual outputs'!$E$8:$E$109)</f>
        <v>0</v>
      </c>
      <c r="E17" s="116">
        <f>SUMIF('Multiplier events'!$A$6:$A$36,A17,'Multiplier events'!$H$6:$H$36)</f>
        <v>0</v>
      </c>
      <c r="F17" s="116">
        <f>SUMIF('VET Transnat. training-teaching'!$A$7:$A$37,$A17,'VET Transnat. training-teaching'!$S$7:$S$37)+SUMIF('SE Transnat. training-teaching'!$A$7:$A$37,$A17,'SE Transnat. training-teaching'!$S$7:$S$37) +SUMIF('Youth Transnat. training-teach'!$A$7:$A$37,$A17,'Youth Transnat. training-teach'!$S$7:$S$37) +SUMIF('AE Transnat. training-teaching'!$A$7:$A$37,$A17,'AE Transnat. training-teaching'!$S$7:$S$37) +SUMIF('HE Transnat. training-teaching'!$A$7:$A$37,$A17,'HE Transnat. training-teaching'!$S$7:$S$37)</f>
        <v>0</v>
      </c>
      <c r="G17" s="116">
        <f>SUMIF('Exceptional costs'!$A$6:$A$36,A17,'Exceptional costs'!$F$6:$F$36)</f>
        <v>0</v>
      </c>
      <c r="H17" s="116">
        <f>SUMIF('Special needs'!$A$6:$A$36,A17,'Special needs'!$G$6:$G$36)</f>
        <v>0</v>
      </c>
      <c r="I17" s="117">
        <f t="shared" si="0"/>
        <v>0</v>
      </c>
      <c r="J17" s="113"/>
    </row>
    <row r="18" spans="1:10" s="108" customFormat="1">
      <c r="A18" s="114" t="str">
        <f>IF(ISBLANK(Management!A17),"",Management!A17)</f>
        <v/>
      </c>
      <c r="B18" s="115" t="str">
        <f>Management!E17</f>
        <v/>
      </c>
      <c r="C18" s="110">
        <f>SUMIF('Partner meetings'!$A$7:$A$108,A18,'Partner meetings'!$J$7:$J$108)</f>
        <v>0</v>
      </c>
      <c r="D18" s="115">
        <f>SUMIF('Intellectual outputs'!$A$8:$A$109,A18,'Intellectual outputs'!$E$8:$E$109)</f>
        <v>0</v>
      </c>
      <c r="E18" s="116">
        <f>SUMIF('Multiplier events'!$A$6:$A$36,A18,'Multiplier events'!$H$6:$H$36)</f>
        <v>0</v>
      </c>
      <c r="F18" s="116">
        <f>SUMIF('VET Transnat. training-teaching'!$A$7:$A$37,$A18,'VET Transnat. training-teaching'!$S$7:$S$37)+SUMIF('SE Transnat. training-teaching'!$A$7:$A$37,$A18,'SE Transnat. training-teaching'!$S$7:$S$37) +SUMIF('Youth Transnat. training-teach'!$A$7:$A$37,$A18,'Youth Transnat. training-teach'!$S$7:$S$37) +SUMIF('AE Transnat. training-teaching'!$A$7:$A$37,$A18,'AE Transnat. training-teaching'!$S$7:$S$37) +SUMIF('HE Transnat. training-teaching'!$A$7:$A$37,$A18,'HE Transnat. training-teaching'!$S$7:$S$37)</f>
        <v>0</v>
      </c>
      <c r="G18" s="116">
        <f>SUMIF('Exceptional costs'!$A$6:$A$36,A18,'Exceptional costs'!$F$6:$F$36)</f>
        <v>0</v>
      </c>
      <c r="H18" s="116">
        <f>SUMIF('Special needs'!$A$6:$A$36,A18,'Special needs'!$G$6:$G$36)</f>
        <v>0</v>
      </c>
      <c r="I18" s="117">
        <f t="shared" si="0"/>
        <v>0</v>
      </c>
      <c r="J18" s="113"/>
    </row>
    <row r="19" spans="1:10" s="108" customFormat="1">
      <c r="A19" s="114" t="str">
        <f>IF(ISBLANK(Management!A18),"",Management!A18)</f>
        <v/>
      </c>
      <c r="B19" s="115" t="str">
        <f>Management!E18</f>
        <v/>
      </c>
      <c r="C19" s="110">
        <f>SUMIF('Partner meetings'!$A$7:$A$108,A19,'Partner meetings'!$J$7:$J$108)</f>
        <v>0</v>
      </c>
      <c r="D19" s="115">
        <f>SUMIF('Intellectual outputs'!$A$8:$A$109,A19,'Intellectual outputs'!$E$8:$E$109)</f>
        <v>0</v>
      </c>
      <c r="E19" s="116">
        <f>SUMIF('Multiplier events'!$A$6:$A$36,A19,'Multiplier events'!$H$6:$H$36)</f>
        <v>0</v>
      </c>
      <c r="F19" s="116">
        <f>SUMIF('VET Transnat. training-teaching'!$A$7:$A$37,$A19,'VET Transnat. training-teaching'!$S$7:$S$37)+SUMIF('SE Transnat. training-teaching'!$A$7:$A$37,$A19,'SE Transnat. training-teaching'!$S$7:$S$37) +SUMIF('Youth Transnat. training-teach'!$A$7:$A$37,$A19,'Youth Transnat. training-teach'!$S$7:$S$37) +SUMIF('AE Transnat. training-teaching'!$A$7:$A$37,$A19,'AE Transnat. training-teaching'!$S$7:$S$37) +SUMIF('HE Transnat. training-teaching'!$A$7:$A$37,$A19,'HE Transnat. training-teaching'!$S$7:$S$37)</f>
        <v>0</v>
      </c>
      <c r="G19" s="116">
        <f>SUMIF('Exceptional costs'!$A$6:$A$36,A19,'Exceptional costs'!$F$6:$F$36)</f>
        <v>0</v>
      </c>
      <c r="H19" s="116">
        <f>SUMIF('Special needs'!$A$6:$A$36,A19,'Special needs'!$G$6:$G$36)</f>
        <v>0</v>
      </c>
      <c r="I19" s="117">
        <f t="shared" si="0"/>
        <v>0</v>
      </c>
      <c r="J19" s="113"/>
    </row>
    <row r="20" spans="1:10" s="108" customFormat="1">
      <c r="A20" s="114" t="str">
        <f>IF(ISBLANK(Management!A19),"",Management!A19)</f>
        <v/>
      </c>
      <c r="B20" s="115" t="str">
        <f>Management!E19</f>
        <v/>
      </c>
      <c r="C20" s="110">
        <f>SUMIF('Partner meetings'!$A$7:$A$108,A20,'Partner meetings'!$J$7:$J$108)</f>
        <v>0</v>
      </c>
      <c r="D20" s="115">
        <f>SUMIF('Intellectual outputs'!$A$8:$A$109,A20,'Intellectual outputs'!$E$8:$E$109)</f>
        <v>0</v>
      </c>
      <c r="E20" s="116">
        <f>SUMIF('Multiplier events'!$A$6:$A$36,A20,'Multiplier events'!$H$6:$H$36)</f>
        <v>0</v>
      </c>
      <c r="F20" s="116">
        <f>SUMIF('VET Transnat. training-teaching'!$A$7:$A$37,$A20,'VET Transnat. training-teaching'!$S$7:$S$37)+SUMIF('SE Transnat. training-teaching'!$A$7:$A$37,$A20,'SE Transnat. training-teaching'!$S$7:$S$37) +SUMIF('Youth Transnat. training-teach'!$A$7:$A$37,$A20,'Youth Transnat. training-teach'!$S$7:$S$37) +SUMIF('AE Transnat. training-teaching'!$A$7:$A$37,$A20,'AE Transnat. training-teaching'!$S$7:$S$37) +SUMIF('HE Transnat. training-teaching'!$A$7:$A$37,$A20,'HE Transnat. training-teaching'!$S$7:$S$37)</f>
        <v>0</v>
      </c>
      <c r="G20" s="116">
        <f>SUMIF('Exceptional costs'!$A$6:$A$36,A20,'Exceptional costs'!$F$6:$F$36)</f>
        <v>0</v>
      </c>
      <c r="H20" s="116">
        <f>SUMIF('Special needs'!$A$6:$A$36,A20,'Special needs'!$G$6:$G$36)</f>
        <v>0</v>
      </c>
      <c r="I20" s="117">
        <f t="shared" si="0"/>
        <v>0</v>
      </c>
      <c r="J20" s="113"/>
    </row>
    <row r="21" spans="1:10" s="108" customFormat="1" ht="13.5" thickBot="1">
      <c r="A21" s="118" t="str">
        <f>IF(ISBLANK(Management!A20),"",Management!A20)</f>
        <v/>
      </c>
      <c r="B21" s="119" t="str">
        <f>Management!E20</f>
        <v/>
      </c>
      <c r="C21" s="119">
        <f>SUMIF('Partner meetings'!$A$7:$A$108,A21,'Partner meetings'!$J$7:$J$108)</f>
        <v>0</v>
      </c>
      <c r="D21" s="119">
        <f>SUMIF('Intellectual outputs'!$A$8:$A$109,A21,'Intellectual outputs'!$E$8:$E$109)</f>
        <v>0</v>
      </c>
      <c r="E21" s="120">
        <f>SUMIF('Multiplier events'!$A$6:$A$36,A21,'Multiplier events'!$H$6:$H$36)</f>
        <v>0</v>
      </c>
      <c r="F21" s="120">
        <f>SUMIF('VET Transnat. training-teaching'!$A$7:$A$37,$A21,'VET Transnat. training-teaching'!$S$7:$S$37)+SUMIF('SE Transnat. training-teaching'!$A$7:$A$37,$A21,'SE Transnat. training-teaching'!$S$7:$S$37) +SUMIF('Youth Transnat. training-teach'!$A$7:$A$37,$A21,'Youth Transnat. training-teach'!$S$7:$S$37) +SUMIF('AE Transnat. training-teaching'!$A$7:$A$37,$A21,'AE Transnat. training-teaching'!$S$7:$S$37) +SUMIF('HE Transnat. training-teaching'!$A$7:$A$37,$A21,'HE Transnat. training-teaching'!$S$7:$S$37)</f>
        <v>0</v>
      </c>
      <c r="G21" s="120">
        <f>SUMIF('Exceptional costs'!$A$6:$A$36,A21,'Exceptional costs'!$F$6:$F$36)</f>
        <v>0</v>
      </c>
      <c r="H21" s="120">
        <f>SUMIF('Special needs'!$A$6:$A$36,A21,'Special needs'!$G$6:$G$36)</f>
        <v>0</v>
      </c>
      <c r="I21" s="121">
        <f t="shared" si="0"/>
        <v>0</v>
      </c>
      <c r="J21" s="113"/>
    </row>
  </sheetData>
  <sheetProtection password="CF02" sheet="1" objects="1" scenarios="1"/>
  <mergeCells count="3">
    <mergeCell ref="A1:B1"/>
    <mergeCell ref="C1:I1"/>
    <mergeCell ref="A4:I4"/>
  </mergeCells>
  <phoneticPr fontId="7" type="noConversion"/>
  <conditionalFormatting sqref="I6">
    <cfRule type="cellIs" dxfId="1" priority="1" stopIfTrue="1" operator="equal">
      <formula>"ERROR"</formula>
    </cfRule>
  </conditionalFormatting>
  <conditionalFormatting sqref="I6">
    <cfRule type="expression" dxfId="0" priority="2" stopIfTrue="1">
      <formula>J6&lt;&gt;""</formula>
    </cfRule>
  </conditionalFormatting>
  <dataValidations disablePrompts="1" count="2">
    <dataValidation type="list" allowBlank="1" showInputMessage="1" showErrorMessage="1" sqref="M2:M3">
      <formula1>ActionsList</formula1>
    </dataValidation>
    <dataValidation type="whole" operator="greaterThanOrEqual" allowBlank="1" showInputMessage="1" showErrorMessage="1" sqref="I7:J21">
      <formula1>0</formula1>
    </dataValidation>
  </dataValidations>
  <printOptions horizontalCentered="1"/>
  <pageMargins left="0.35433070866141736" right="0.35433070866141736" top="0.86614173228346458" bottom="0.6692913385826772" header="0.51181102362204722" footer="0.43307086614173229"/>
  <pageSetup paperSize="9" orientation="landscape" r:id="rId1"/>
  <headerFooter scaleWithDoc="0">
    <oddHeader>&amp;C&amp;11 2016. E+ KA204&amp;RVersion: 2016.01.17. - TKA</oddHeader>
    <oddFooter>&amp;C&amp;"Arial,Félkövér"&amp;A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 enableFormatConditionsCalculation="0">
    <tabColor indexed="55"/>
    <pageSetUpPr fitToPage="1"/>
  </sheetPr>
  <dimension ref="A1:Y206"/>
  <sheetViews>
    <sheetView topLeftCell="B38" workbookViewId="0">
      <selection activeCell="O52" sqref="O52"/>
    </sheetView>
  </sheetViews>
  <sheetFormatPr defaultColWidth="8.85546875" defaultRowHeight="15.75"/>
  <cols>
    <col min="1" max="1" width="28" style="338" bestFit="1" customWidth="1"/>
    <col min="2" max="2" width="8" style="372" customWidth="1"/>
    <col min="3" max="3" width="8.42578125" style="338" bestFit="1" customWidth="1"/>
    <col min="4" max="4" width="10.7109375" style="338" customWidth="1"/>
    <col min="5" max="5" width="9.42578125" style="338" bestFit="1" customWidth="1"/>
    <col min="6" max="6" width="14" style="338" bestFit="1" customWidth="1"/>
    <col min="7" max="7" width="7" style="338" customWidth="1"/>
    <col min="8" max="8" width="0.7109375" customWidth="1"/>
    <col min="9" max="9" width="1.85546875" customWidth="1"/>
    <col min="10" max="10" width="17.42578125" style="9" customWidth="1"/>
    <col min="11" max="11" width="10.42578125" style="9" bestFit="1" customWidth="1"/>
    <col min="12" max="12" width="2.5703125" style="338" customWidth="1"/>
    <col min="13" max="13" width="10.7109375" style="338" customWidth="1"/>
    <col min="14" max="14" width="10.85546875" style="338" customWidth="1"/>
    <col min="15" max="16" width="12.85546875" style="338" customWidth="1"/>
    <col min="17" max="17" width="20.7109375" style="338" customWidth="1"/>
    <col min="18" max="18" width="37.42578125" style="2" customWidth="1"/>
    <col min="19" max="19" width="14.7109375" style="2" customWidth="1"/>
    <col min="20" max="20" width="2.5703125" style="338" customWidth="1"/>
    <col min="21" max="21" width="24.42578125" style="2" customWidth="1"/>
    <col min="22" max="22" width="4" style="2" bestFit="1" customWidth="1"/>
    <col min="23" max="23" width="2.5703125" style="338" customWidth="1"/>
    <col min="24" max="24" width="13.28515625" style="9" bestFit="1" customWidth="1"/>
    <col min="25" max="25" width="10.42578125" style="9" customWidth="1"/>
    <col min="26" max="16384" width="8.85546875" style="338"/>
  </cols>
  <sheetData>
    <row r="1" spans="1:25" ht="30.75" customHeight="1" thickBot="1">
      <c r="A1" s="559" t="s">
        <v>135</v>
      </c>
      <c r="B1" s="559"/>
      <c r="C1" s="559"/>
      <c r="D1" s="559"/>
      <c r="E1" s="559"/>
      <c r="F1" s="559"/>
      <c r="G1" s="559"/>
      <c r="M1" s="567" t="s">
        <v>124</v>
      </c>
      <c r="N1" s="567"/>
      <c r="O1" s="567"/>
      <c r="P1" s="567"/>
      <c r="Q1" s="567"/>
      <c r="R1" s="567"/>
      <c r="S1" s="567"/>
      <c r="U1" s="574" t="s">
        <v>123</v>
      </c>
      <c r="V1" s="574"/>
    </row>
    <row r="2" spans="1:25" ht="39" thickBot="1">
      <c r="A2" s="552" t="s">
        <v>111</v>
      </c>
      <c r="B2" s="553"/>
      <c r="C2" s="571" t="s">
        <v>44</v>
      </c>
      <c r="D2" s="572"/>
      <c r="E2" s="572"/>
      <c r="F2" s="573"/>
      <c r="G2" s="339"/>
      <c r="J2" s="560" t="s">
        <v>97</v>
      </c>
      <c r="K2" s="561"/>
      <c r="M2" s="340"/>
      <c r="N2" s="554" t="s">
        <v>323</v>
      </c>
      <c r="O2" s="555"/>
      <c r="P2" s="556"/>
      <c r="Q2" s="134" t="s">
        <v>465</v>
      </c>
      <c r="R2" s="560" t="s">
        <v>453</v>
      </c>
      <c r="S2" s="561"/>
      <c r="U2" s="560" t="s">
        <v>325</v>
      </c>
      <c r="V2" s="561"/>
      <c r="X2" s="565" t="s">
        <v>326</v>
      </c>
      <c r="Y2" s="566"/>
    </row>
    <row r="3" spans="1:25" s="1" customFormat="1" ht="90" customHeight="1" thickBot="1">
      <c r="A3" s="332" t="s">
        <v>2</v>
      </c>
      <c r="B3" s="184" t="s">
        <v>45</v>
      </c>
      <c r="C3" s="332" t="s">
        <v>39</v>
      </c>
      <c r="D3" s="185" t="s">
        <v>46</v>
      </c>
      <c r="E3" s="186" t="s">
        <v>40</v>
      </c>
      <c r="F3" s="187" t="s">
        <v>41</v>
      </c>
      <c r="G3" s="188"/>
      <c r="H3"/>
      <c r="I3"/>
      <c r="J3" s="16" t="s">
        <v>133</v>
      </c>
      <c r="K3" s="17" t="s">
        <v>159</v>
      </c>
      <c r="M3" s="341"/>
      <c r="N3" s="135" t="s">
        <v>125</v>
      </c>
      <c r="O3" s="136" t="s">
        <v>328</v>
      </c>
      <c r="P3" s="136" t="s">
        <v>327</v>
      </c>
      <c r="Q3" s="337" t="s">
        <v>464</v>
      </c>
      <c r="R3" s="140" t="s">
        <v>324</v>
      </c>
      <c r="S3" s="342">
        <v>100</v>
      </c>
      <c r="U3" s="16" t="s">
        <v>122</v>
      </c>
      <c r="V3" s="343">
        <v>150</v>
      </c>
      <c r="X3" s="142" t="s">
        <v>133</v>
      </c>
      <c r="Y3" s="143" t="s">
        <v>159</v>
      </c>
    </row>
    <row r="4" spans="1:25" s="1" customFormat="1" ht="32.25" thickBot="1">
      <c r="A4" s="344" t="s">
        <v>69</v>
      </c>
      <c r="B4" s="345" t="s">
        <v>5</v>
      </c>
      <c r="C4" s="346">
        <v>294</v>
      </c>
      <c r="D4" s="347">
        <v>241</v>
      </c>
      <c r="E4" s="347">
        <v>190</v>
      </c>
      <c r="F4" s="348">
        <v>157</v>
      </c>
      <c r="G4" s="562" t="s">
        <v>99</v>
      </c>
      <c r="H4"/>
      <c r="I4"/>
      <c r="J4" s="14" t="s">
        <v>134</v>
      </c>
      <c r="K4" s="15">
        <v>575</v>
      </c>
      <c r="M4" s="340" t="s">
        <v>69</v>
      </c>
      <c r="N4" s="349">
        <v>105</v>
      </c>
      <c r="O4" s="349">
        <v>74</v>
      </c>
      <c r="P4" s="349">
        <v>53</v>
      </c>
      <c r="Q4" s="350">
        <v>115</v>
      </c>
      <c r="R4" s="351" t="s">
        <v>163</v>
      </c>
      <c r="S4" s="352">
        <v>70</v>
      </c>
      <c r="U4" s="2"/>
      <c r="V4" s="2"/>
      <c r="X4" s="14" t="s">
        <v>134</v>
      </c>
      <c r="Y4" s="15">
        <v>275</v>
      </c>
    </row>
    <row r="5" spans="1:25" ht="32.25" thickBot="1">
      <c r="A5" s="6" t="s">
        <v>54</v>
      </c>
      <c r="B5" s="353" t="s">
        <v>8</v>
      </c>
      <c r="C5" s="354">
        <v>280</v>
      </c>
      <c r="D5" s="355">
        <v>214</v>
      </c>
      <c r="E5" s="355">
        <v>162</v>
      </c>
      <c r="F5" s="356">
        <v>131</v>
      </c>
      <c r="G5" s="563"/>
      <c r="J5" s="3" t="s">
        <v>136</v>
      </c>
      <c r="K5" s="10">
        <v>760</v>
      </c>
      <c r="M5" s="357" t="s">
        <v>54</v>
      </c>
      <c r="N5" s="358">
        <v>105</v>
      </c>
      <c r="O5" s="358">
        <v>74</v>
      </c>
      <c r="P5" s="358">
        <v>53</v>
      </c>
      <c r="Q5" s="359">
        <v>110</v>
      </c>
      <c r="R5" s="560" t="s">
        <v>473</v>
      </c>
      <c r="S5" s="561"/>
      <c r="X5" s="19" t="s">
        <v>136</v>
      </c>
      <c r="Y5" s="10">
        <v>360</v>
      </c>
    </row>
    <row r="6" spans="1:25" ht="32.25" thickBot="1">
      <c r="A6" s="6" t="s">
        <v>55</v>
      </c>
      <c r="B6" s="353" t="s">
        <v>30</v>
      </c>
      <c r="C6" s="354">
        <v>88</v>
      </c>
      <c r="D6" s="355">
        <v>74</v>
      </c>
      <c r="E6" s="355">
        <v>55</v>
      </c>
      <c r="F6" s="356">
        <v>39</v>
      </c>
      <c r="G6" s="563"/>
      <c r="M6" s="357" t="s">
        <v>55</v>
      </c>
      <c r="N6" s="358">
        <v>105</v>
      </c>
      <c r="O6" s="358">
        <v>74</v>
      </c>
      <c r="P6" s="358">
        <v>53</v>
      </c>
      <c r="Q6" s="359">
        <v>70</v>
      </c>
      <c r="R6" s="141" t="s">
        <v>324</v>
      </c>
      <c r="S6" s="342">
        <v>55</v>
      </c>
      <c r="Y6" s="13"/>
    </row>
    <row r="7" spans="1:25" ht="32.25" thickBot="1">
      <c r="A7" s="6" t="s">
        <v>63</v>
      </c>
      <c r="B7" s="353" t="s">
        <v>7</v>
      </c>
      <c r="C7" s="354">
        <v>164</v>
      </c>
      <c r="D7" s="355">
        <v>137</v>
      </c>
      <c r="E7" s="355">
        <v>102</v>
      </c>
      <c r="F7" s="356">
        <v>78</v>
      </c>
      <c r="G7" s="563"/>
      <c r="J7" s="557" t="s">
        <v>160</v>
      </c>
      <c r="K7" s="558"/>
      <c r="M7" s="357" t="s">
        <v>63</v>
      </c>
      <c r="N7" s="358">
        <v>105</v>
      </c>
      <c r="O7" s="358">
        <v>74</v>
      </c>
      <c r="P7" s="358">
        <v>53</v>
      </c>
      <c r="Q7" s="359">
        <v>110</v>
      </c>
      <c r="R7" s="351" t="s">
        <v>163</v>
      </c>
      <c r="S7" s="352">
        <v>40</v>
      </c>
      <c r="Y7" s="360"/>
    </row>
    <row r="8" spans="1:25" ht="16.5" thickBot="1">
      <c r="A8" s="6" t="s">
        <v>93</v>
      </c>
      <c r="B8" s="353" t="s">
        <v>6</v>
      </c>
      <c r="C8" s="354">
        <v>164</v>
      </c>
      <c r="D8" s="355">
        <v>137</v>
      </c>
      <c r="E8" s="355">
        <v>102</v>
      </c>
      <c r="F8" s="356">
        <v>78</v>
      </c>
      <c r="G8" s="563"/>
      <c r="J8" s="304" t="s">
        <v>437</v>
      </c>
      <c r="K8" s="305" t="s">
        <v>161</v>
      </c>
      <c r="M8" s="357" t="s">
        <v>93</v>
      </c>
      <c r="N8" s="358">
        <v>105</v>
      </c>
      <c r="O8" s="358">
        <v>74</v>
      </c>
      <c r="P8" s="358">
        <v>53</v>
      </c>
      <c r="Q8" s="359">
        <v>90</v>
      </c>
      <c r="Y8" s="360"/>
    </row>
    <row r="9" spans="1:25">
      <c r="A9" s="6" t="s">
        <v>56</v>
      </c>
      <c r="B9" s="353" t="s">
        <v>9</v>
      </c>
      <c r="C9" s="354">
        <v>294</v>
      </c>
      <c r="D9" s="355">
        <v>241</v>
      </c>
      <c r="E9" s="355">
        <v>190</v>
      </c>
      <c r="F9" s="356">
        <v>157</v>
      </c>
      <c r="G9" s="563"/>
      <c r="J9" s="306">
        <v>12</v>
      </c>
      <c r="K9" s="307">
        <f>J9*12500</f>
        <v>150000</v>
      </c>
      <c r="M9" s="357" t="s">
        <v>56</v>
      </c>
      <c r="N9" s="358">
        <v>120</v>
      </c>
      <c r="O9" s="358">
        <v>84</v>
      </c>
      <c r="P9" s="358">
        <v>60</v>
      </c>
      <c r="Q9" s="359">
        <v>145</v>
      </c>
      <c r="Y9" s="360"/>
    </row>
    <row r="10" spans="1:25">
      <c r="A10" s="6" t="s">
        <v>94</v>
      </c>
      <c r="B10" s="353" t="s">
        <v>42</v>
      </c>
      <c r="C10" s="354">
        <v>280</v>
      </c>
      <c r="D10" s="355">
        <v>214</v>
      </c>
      <c r="E10" s="355">
        <v>162</v>
      </c>
      <c r="F10" s="356">
        <v>131</v>
      </c>
      <c r="G10" s="563"/>
      <c r="J10" s="308">
        <v>13</v>
      </c>
      <c r="K10" s="309">
        <f t="shared" ref="K10:K33" si="0">J10*12500</f>
        <v>162500</v>
      </c>
      <c r="M10" s="357" t="s">
        <v>94</v>
      </c>
      <c r="N10" s="358">
        <v>120</v>
      </c>
      <c r="O10" s="358">
        <v>84</v>
      </c>
      <c r="P10" s="358">
        <v>60</v>
      </c>
      <c r="Q10" s="359">
        <v>140</v>
      </c>
      <c r="Y10" s="360"/>
    </row>
    <row r="11" spans="1:25">
      <c r="A11" s="6" t="s">
        <v>58</v>
      </c>
      <c r="B11" s="353" t="s">
        <v>11</v>
      </c>
      <c r="C11" s="354">
        <v>88</v>
      </c>
      <c r="D11" s="355">
        <v>74</v>
      </c>
      <c r="E11" s="355">
        <v>55</v>
      </c>
      <c r="F11" s="356">
        <v>39</v>
      </c>
      <c r="G11" s="563"/>
      <c r="J11" s="308">
        <v>14</v>
      </c>
      <c r="K11" s="309">
        <f t="shared" si="0"/>
        <v>175000</v>
      </c>
      <c r="M11" s="357" t="s">
        <v>58</v>
      </c>
      <c r="N11" s="358">
        <v>75</v>
      </c>
      <c r="O11" s="358">
        <v>53</v>
      </c>
      <c r="P11" s="358">
        <v>38</v>
      </c>
      <c r="Q11" s="359">
        <v>85</v>
      </c>
      <c r="Y11" s="360"/>
    </row>
    <row r="12" spans="1:25">
      <c r="A12" s="6" t="s">
        <v>73</v>
      </c>
      <c r="B12" s="353" t="s">
        <v>25</v>
      </c>
      <c r="C12" s="354">
        <v>280</v>
      </c>
      <c r="D12" s="355">
        <v>214</v>
      </c>
      <c r="E12" s="355">
        <v>162</v>
      </c>
      <c r="F12" s="356">
        <v>131</v>
      </c>
      <c r="G12" s="563"/>
      <c r="J12" s="308">
        <v>15</v>
      </c>
      <c r="K12" s="309">
        <f t="shared" si="0"/>
        <v>187500</v>
      </c>
      <c r="M12" s="357" t="s">
        <v>73</v>
      </c>
      <c r="N12" s="358">
        <v>105</v>
      </c>
      <c r="O12" s="358">
        <v>74</v>
      </c>
      <c r="P12" s="358">
        <v>53</v>
      </c>
      <c r="Q12" s="359">
        <v>125</v>
      </c>
      <c r="Y12" s="360"/>
    </row>
    <row r="13" spans="1:25">
      <c r="A13" s="6" t="s">
        <v>88</v>
      </c>
      <c r="B13" s="353" t="s">
        <v>13</v>
      </c>
      <c r="C13" s="354">
        <v>280</v>
      </c>
      <c r="D13" s="355">
        <v>214</v>
      </c>
      <c r="E13" s="355">
        <v>162</v>
      </c>
      <c r="F13" s="356">
        <v>131</v>
      </c>
      <c r="G13" s="563"/>
      <c r="J13" s="308">
        <v>16</v>
      </c>
      <c r="K13" s="309">
        <f t="shared" si="0"/>
        <v>200000</v>
      </c>
      <c r="M13" s="357" t="s">
        <v>88</v>
      </c>
      <c r="N13" s="358">
        <v>105</v>
      </c>
      <c r="O13" s="358">
        <v>74</v>
      </c>
      <c r="P13" s="358">
        <v>53</v>
      </c>
      <c r="Q13" s="359">
        <v>115</v>
      </c>
      <c r="Y13" s="360"/>
    </row>
    <row r="14" spans="1:25">
      <c r="A14" s="6" t="s">
        <v>59</v>
      </c>
      <c r="B14" s="353" t="s">
        <v>47</v>
      </c>
      <c r="C14" s="354">
        <v>164</v>
      </c>
      <c r="D14" s="355">
        <v>137</v>
      </c>
      <c r="E14" s="355">
        <v>102</v>
      </c>
      <c r="F14" s="356">
        <v>78</v>
      </c>
      <c r="G14" s="563"/>
      <c r="J14" s="308">
        <v>17</v>
      </c>
      <c r="K14" s="309">
        <f t="shared" si="0"/>
        <v>212500</v>
      </c>
      <c r="M14" s="357" t="s">
        <v>95</v>
      </c>
      <c r="N14" s="358">
        <v>105</v>
      </c>
      <c r="O14" s="358">
        <v>74</v>
      </c>
      <c r="P14" s="358">
        <v>53</v>
      </c>
      <c r="Q14" s="359">
        <v>100</v>
      </c>
      <c r="Y14" s="360"/>
    </row>
    <row r="15" spans="1:25">
      <c r="A15" s="6" t="s">
        <v>68</v>
      </c>
      <c r="B15" s="353" t="s">
        <v>20</v>
      </c>
      <c r="C15" s="354">
        <v>294</v>
      </c>
      <c r="D15" s="355">
        <v>241</v>
      </c>
      <c r="E15" s="355">
        <v>190</v>
      </c>
      <c r="F15" s="356">
        <v>157</v>
      </c>
      <c r="G15" s="563"/>
      <c r="J15" s="308">
        <v>18</v>
      </c>
      <c r="K15" s="309">
        <f t="shared" si="0"/>
        <v>225000</v>
      </c>
      <c r="M15" s="357" t="s">
        <v>68</v>
      </c>
      <c r="N15" s="358">
        <v>120</v>
      </c>
      <c r="O15" s="358">
        <v>84</v>
      </c>
      <c r="P15" s="358">
        <v>60</v>
      </c>
      <c r="Q15" s="359">
        <v>110</v>
      </c>
      <c r="Y15" s="360"/>
    </row>
    <row r="16" spans="1:25">
      <c r="A16" s="6" t="s">
        <v>78</v>
      </c>
      <c r="B16" s="353" t="s">
        <v>52</v>
      </c>
      <c r="C16" s="354">
        <v>88</v>
      </c>
      <c r="D16" s="355">
        <v>74</v>
      </c>
      <c r="E16" s="355">
        <v>55</v>
      </c>
      <c r="F16" s="356">
        <v>39</v>
      </c>
      <c r="G16" s="563"/>
      <c r="J16" s="308">
        <v>19</v>
      </c>
      <c r="K16" s="309">
        <f t="shared" si="0"/>
        <v>237500</v>
      </c>
      <c r="M16" s="357" t="s">
        <v>78</v>
      </c>
      <c r="N16" s="358">
        <v>75</v>
      </c>
      <c r="O16" s="358">
        <v>53</v>
      </c>
      <c r="P16" s="358">
        <v>38</v>
      </c>
      <c r="Q16" s="359">
        <v>90</v>
      </c>
      <c r="Y16" s="360"/>
    </row>
    <row r="17" spans="1:25">
      <c r="A17" s="6" t="s">
        <v>61</v>
      </c>
      <c r="B17" s="353" t="s">
        <v>14</v>
      </c>
      <c r="C17" s="354">
        <v>294</v>
      </c>
      <c r="D17" s="355">
        <v>241</v>
      </c>
      <c r="E17" s="355">
        <v>190</v>
      </c>
      <c r="F17" s="356">
        <v>157</v>
      </c>
      <c r="G17" s="563"/>
      <c r="J17" s="308">
        <v>20</v>
      </c>
      <c r="K17" s="309">
        <f t="shared" si="0"/>
        <v>250000</v>
      </c>
      <c r="M17" s="357" t="s">
        <v>61</v>
      </c>
      <c r="N17" s="358">
        <v>120</v>
      </c>
      <c r="O17" s="358">
        <v>84</v>
      </c>
      <c r="P17" s="358">
        <v>60</v>
      </c>
      <c r="Q17" s="359">
        <v>125</v>
      </c>
      <c r="Y17" s="360"/>
    </row>
    <row r="18" spans="1:25">
      <c r="A18" s="6" t="s">
        <v>75</v>
      </c>
      <c r="B18" s="353" t="s">
        <v>27</v>
      </c>
      <c r="C18" s="354">
        <v>280</v>
      </c>
      <c r="D18" s="355">
        <v>214</v>
      </c>
      <c r="E18" s="355">
        <v>162</v>
      </c>
      <c r="F18" s="356">
        <v>131</v>
      </c>
      <c r="G18" s="563"/>
      <c r="J18" s="308">
        <v>21</v>
      </c>
      <c r="K18" s="309">
        <f t="shared" si="0"/>
        <v>262500</v>
      </c>
      <c r="M18" s="357" t="s">
        <v>75</v>
      </c>
      <c r="N18" s="358">
        <v>105</v>
      </c>
      <c r="O18" s="358">
        <v>74</v>
      </c>
      <c r="P18" s="358">
        <v>53</v>
      </c>
      <c r="Q18" s="359">
        <v>135</v>
      </c>
      <c r="Y18" s="360"/>
    </row>
    <row r="19" spans="1:25">
      <c r="A19" s="6" t="s">
        <v>70</v>
      </c>
      <c r="B19" s="353" t="s">
        <v>21</v>
      </c>
      <c r="C19" s="354">
        <v>88</v>
      </c>
      <c r="D19" s="355">
        <v>74</v>
      </c>
      <c r="E19" s="355">
        <v>55</v>
      </c>
      <c r="F19" s="356">
        <v>39</v>
      </c>
      <c r="G19" s="563"/>
      <c r="J19" s="308">
        <v>22</v>
      </c>
      <c r="K19" s="309">
        <f t="shared" si="0"/>
        <v>275000</v>
      </c>
      <c r="M19" s="357" t="s">
        <v>70</v>
      </c>
      <c r="N19" s="358">
        <v>105</v>
      </c>
      <c r="O19" s="358">
        <v>74</v>
      </c>
      <c r="P19" s="358">
        <v>53</v>
      </c>
      <c r="Q19" s="359">
        <v>85</v>
      </c>
      <c r="Y19" s="360"/>
    </row>
    <row r="20" spans="1:25">
      <c r="A20" s="6" t="s">
        <v>64</v>
      </c>
      <c r="B20" s="353" t="s">
        <v>48</v>
      </c>
      <c r="C20" s="354">
        <v>88</v>
      </c>
      <c r="D20" s="355">
        <v>74</v>
      </c>
      <c r="E20" s="355">
        <v>55</v>
      </c>
      <c r="F20" s="356">
        <v>39</v>
      </c>
      <c r="G20" s="563"/>
      <c r="J20" s="308">
        <v>23</v>
      </c>
      <c r="K20" s="309">
        <f t="shared" si="0"/>
        <v>287500</v>
      </c>
      <c r="M20" s="357" t="s">
        <v>64</v>
      </c>
      <c r="N20" s="358">
        <v>90</v>
      </c>
      <c r="O20" s="358">
        <v>63</v>
      </c>
      <c r="P20" s="358">
        <v>45</v>
      </c>
      <c r="Q20" s="359">
        <v>80</v>
      </c>
      <c r="Y20" s="360"/>
    </row>
    <row r="21" spans="1:25">
      <c r="A21" s="6" t="s">
        <v>76</v>
      </c>
      <c r="B21" s="353" t="s">
        <v>28</v>
      </c>
      <c r="C21" s="354">
        <v>294</v>
      </c>
      <c r="D21" s="355">
        <v>241</v>
      </c>
      <c r="E21" s="355">
        <v>190</v>
      </c>
      <c r="F21" s="356">
        <v>157</v>
      </c>
      <c r="G21" s="563"/>
      <c r="J21" s="308">
        <v>24</v>
      </c>
      <c r="K21" s="309">
        <f t="shared" si="0"/>
        <v>300000</v>
      </c>
      <c r="M21" s="357" t="s">
        <v>76</v>
      </c>
      <c r="N21" s="358">
        <v>105</v>
      </c>
      <c r="O21" s="358">
        <v>74</v>
      </c>
      <c r="P21" s="358">
        <v>53</v>
      </c>
      <c r="Q21" s="359">
        <v>120</v>
      </c>
      <c r="Y21" s="360"/>
    </row>
    <row r="22" spans="1:25">
      <c r="A22" s="6" t="s">
        <v>65</v>
      </c>
      <c r="B22" s="353" t="s">
        <v>16</v>
      </c>
      <c r="C22" s="354">
        <v>88</v>
      </c>
      <c r="D22" s="355">
        <v>74</v>
      </c>
      <c r="E22" s="355">
        <v>55</v>
      </c>
      <c r="F22" s="356">
        <v>39</v>
      </c>
      <c r="G22" s="563"/>
      <c r="J22" s="308">
        <v>25</v>
      </c>
      <c r="K22" s="309">
        <f t="shared" si="0"/>
        <v>312500</v>
      </c>
      <c r="M22" s="357" t="s">
        <v>65</v>
      </c>
      <c r="N22" s="358">
        <v>75</v>
      </c>
      <c r="O22" s="358">
        <v>53</v>
      </c>
      <c r="P22" s="358">
        <v>38</v>
      </c>
      <c r="Q22" s="359">
        <v>80</v>
      </c>
      <c r="Y22" s="13"/>
    </row>
    <row r="23" spans="1:25">
      <c r="A23" s="6" t="s">
        <v>66</v>
      </c>
      <c r="B23" s="353" t="s">
        <v>17</v>
      </c>
      <c r="C23" s="354">
        <v>294</v>
      </c>
      <c r="D23" s="355">
        <v>241</v>
      </c>
      <c r="E23" s="355">
        <v>190</v>
      </c>
      <c r="F23" s="356">
        <v>157</v>
      </c>
      <c r="G23" s="563"/>
      <c r="J23" s="308">
        <v>26</v>
      </c>
      <c r="K23" s="309">
        <f t="shared" si="0"/>
        <v>325000</v>
      </c>
      <c r="M23" s="357" t="s">
        <v>96</v>
      </c>
      <c r="N23" s="358">
        <v>105</v>
      </c>
      <c r="O23" s="358">
        <v>74</v>
      </c>
      <c r="P23" s="358">
        <v>53</v>
      </c>
      <c r="Q23" s="359">
        <v>110</v>
      </c>
      <c r="Y23" s="13"/>
    </row>
    <row r="24" spans="1:25">
      <c r="A24" s="6" t="s">
        <v>67</v>
      </c>
      <c r="B24" s="353" t="s">
        <v>18</v>
      </c>
      <c r="C24" s="354">
        <v>88</v>
      </c>
      <c r="D24" s="355">
        <v>74</v>
      </c>
      <c r="E24" s="355">
        <v>55</v>
      </c>
      <c r="F24" s="356">
        <v>39</v>
      </c>
      <c r="G24" s="563"/>
      <c r="J24" s="308">
        <v>27</v>
      </c>
      <c r="K24" s="309">
        <f t="shared" si="0"/>
        <v>337500</v>
      </c>
      <c r="M24" s="357" t="s">
        <v>91</v>
      </c>
      <c r="N24" s="358">
        <v>90</v>
      </c>
      <c r="O24" s="358">
        <v>63</v>
      </c>
      <c r="P24" s="358">
        <v>45</v>
      </c>
      <c r="Q24" s="359">
        <v>60</v>
      </c>
      <c r="Y24" s="13"/>
    </row>
    <row r="25" spans="1:25">
      <c r="A25" s="6" t="s">
        <v>92</v>
      </c>
      <c r="B25" s="353" t="s">
        <v>19</v>
      </c>
      <c r="C25" s="354">
        <v>164</v>
      </c>
      <c r="D25" s="355">
        <v>137</v>
      </c>
      <c r="E25" s="355">
        <v>102</v>
      </c>
      <c r="F25" s="356">
        <v>78</v>
      </c>
      <c r="G25" s="563"/>
      <c r="J25" s="308">
        <v>28</v>
      </c>
      <c r="K25" s="309">
        <f t="shared" si="0"/>
        <v>350000</v>
      </c>
      <c r="M25" s="357" t="s">
        <v>67</v>
      </c>
      <c r="N25" s="358">
        <v>105</v>
      </c>
      <c r="O25" s="358">
        <v>74</v>
      </c>
      <c r="P25" s="358">
        <v>53</v>
      </c>
      <c r="Q25" s="359">
        <v>90</v>
      </c>
      <c r="Y25" s="13"/>
    </row>
    <row r="26" spans="1:25">
      <c r="A26" s="6" t="s">
        <v>57</v>
      </c>
      <c r="B26" s="353" t="s">
        <v>10</v>
      </c>
      <c r="C26" s="354">
        <v>280</v>
      </c>
      <c r="D26" s="355">
        <v>214</v>
      </c>
      <c r="E26" s="355">
        <v>162</v>
      </c>
      <c r="F26" s="356">
        <v>131</v>
      </c>
      <c r="G26" s="563"/>
      <c r="J26" s="308">
        <v>29</v>
      </c>
      <c r="K26" s="309">
        <f t="shared" si="0"/>
        <v>362500</v>
      </c>
      <c r="M26" s="357" t="s">
        <v>92</v>
      </c>
      <c r="N26" s="358">
        <v>90</v>
      </c>
      <c r="O26" s="358">
        <v>63</v>
      </c>
      <c r="P26" s="358">
        <v>45</v>
      </c>
      <c r="Q26" s="359">
        <v>110</v>
      </c>
      <c r="Y26" s="13"/>
    </row>
    <row r="27" spans="1:25">
      <c r="A27" s="6" t="s">
        <v>77</v>
      </c>
      <c r="B27" s="353" t="s">
        <v>29</v>
      </c>
      <c r="C27" s="354">
        <v>294</v>
      </c>
      <c r="D27" s="355">
        <v>241</v>
      </c>
      <c r="E27" s="355">
        <v>190</v>
      </c>
      <c r="F27" s="356">
        <v>157</v>
      </c>
      <c r="G27" s="563"/>
      <c r="J27" s="308">
        <v>30</v>
      </c>
      <c r="K27" s="309">
        <f t="shared" si="0"/>
        <v>375000</v>
      </c>
      <c r="M27" s="357" t="s">
        <v>57</v>
      </c>
      <c r="N27" s="358">
        <v>90</v>
      </c>
      <c r="O27" s="358">
        <v>63</v>
      </c>
      <c r="P27" s="358">
        <v>45</v>
      </c>
      <c r="Q27" s="359">
        <v>110</v>
      </c>
      <c r="Y27" s="13"/>
    </row>
    <row r="28" spans="1:25">
      <c r="A28" s="6" t="s">
        <v>62</v>
      </c>
      <c r="B28" s="353" t="s">
        <v>15</v>
      </c>
      <c r="C28" s="354">
        <v>280</v>
      </c>
      <c r="D28" s="355">
        <v>214</v>
      </c>
      <c r="E28" s="355">
        <v>162</v>
      </c>
      <c r="F28" s="356">
        <v>131</v>
      </c>
      <c r="G28" s="563"/>
      <c r="J28" s="308">
        <v>31</v>
      </c>
      <c r="K28" s="309">
        <f t="shared" si="0"/>
        <v>387500</v>
      </c>
      <c r="M28" s="357" t="s">
        <v>77</v>
      </c>
      <c r="N28" s="358">
        <v>105</v>
      </c>
      <c r="O28" s="358">
        <v>74</v>
      </c>
      <c r="P28" s="358">
        <v>53</v>
      </c>
      <c r="Q28" s="359">
        <v>135</v>
      </c>
    </row>
    <row r="29" spans="1:25">
      <c r="A29" s="6" t="s">
        <v>89</v>
      </c>
      <c r="B29" s="353" t="s">
        <v>22</v>
      </c>
      <c r="C29" s="354">
        <v>164</v>
      </c>
      <c r="D29" s="355">
        <v>137</v>
      </c>
      <c r="E29" s="355">
        <v>102</v>
      </c>
      <c r="F29" s="356">
        <v>78</v>
      </c>
      <c r="G29" s="563"/>
      <c r="J29" s="308">
        <v>32</v>
      </c>
      <c r="K29" s="309">
        <f t="shared" si="0"/>
        <v>400000</v>
      </c>
      <c r="M29" s="357" t="s">
        <v>62</v>
      </c>
      <c r="N29" s="358">
        <v>105</v>
      </c>
      <c r="O29" s="358">
        <v>74</v>
      </c>
      <c r="P29" s="358">
        <v>53</v>
      </c>
      <c r="Q29" s="359">
        <v>115</v>
      </c>
    </row>
    <row r="30" spans="1:25">
      <c r="A30" s="6" t="s">
        <v>90</v>
      </c>
      <c r="B30" s="353" t="s">
        <v>31</v>
      </c>
      <c r="C30" s="354">
        <v>88</v>
      </c>
      <c r="D30" s="355">
        <v>74</v>
      </c>
      <c r="E30" s="355">
        <v>55</v>
      </c>
      <c r="F30" s="356">
        <v>39</v>
      </c>
      <c r="G30" s="563"/>
      <c r="J30" s="308">
        <v>33</v>
      </c>
      <c r="K30" s="309">
        <f t="shared" si="0"/>
        <v>412500</v>
      </c>
      <c r="M30" s="357" t="s">
        <v>89</v>
      </c>
      <c r="N30" s="358">
        <v>90</v>
      </c>
      <c r="O30" s="358">
        <v>63</v>
      </c>
      <c r="P30" s="358">
        <v>45</v>
      </c>
      <c r="Q30" s="359">
        <v>100</v>
      </c>
    </row>
    <row r="31" spans="1:25">
      <c r="A31" s="6" t="s">
        <v>60</v>
      </c>
      <c r="B31" s="353" t="s">
        <v>12</v>
      </c>
      <c r="C31" s="354">
        <v>164</v>
      </c>
      <c r="D31" s="355">
        <v>137</v>
      </c>
      <c r="E31" s="355">
        <v>102</v>
      </c>
      <c r="F31" s="356">
        <v>78</v>
      </c>
      <c r="G31" s="563"/>
      <c r="J31" s="308">
        <v>34</v>
      </c>
      <c r="K31" s="309">
        <f t="shared" si="0"/>
        <v>425000</v>
      </c>
      <c r="M31" s="357" t="s">
        <v>90</v>
      </c>
      <c r="N31" s="358">
        <v>105</v>
      </c>
      <c r="O31" s="358">
        <v>74</v>
      </c>
      <c r="P31" s="358">
        <v>53</v>
      </c>
      <c r="Q31" s="359">
        <v>60</v>
      </c>
    </row>
    <row r="32" spans="1:25">
      <c r="A32" s="6" t="s">
        <v>79</v>
      </c>
      <c r="B32" s="353" t="s">
        <v>53</v>
      </c>
      <c r="C32" s="354">
        <v>294</v>
      </c>
      <c r="D32" s="355">
        <v>241</v>
      </c>
      <c r="E32" s="355">
        <v>190</v>
      </c>
      <c r="F32" s="356">
        <v>157</v>
      </c>
      <c r="G32" s="563"/>
      <c r="J32" s="308">
        <v>35</v>
      </c>
      <c r="K32" s="309">
        <f t="shared" si="0"/>
        <v>437500</v>
      </c>
      <c r="M32" s="357" t="s">
        <v>60</v>
      </c>
      <c r="N32" s="358">
        <v>90</v>
      </c>
      <c r="O32" s="358">
        <v>63</v>
      </c>
      <c r="P32" s="358">
        <v>45</v>
      </c>
      <c r="Q32" s="359">
        <v>105</v>
      </c>
    </row>
    <row r="33" spans="1:17" ht="16.5" thickBot="1">
      <c r="A33" s="6" t="s">
        <v>74</v>
      </c>
      <c r="B33" s="353" t="s">
        <v>26</v>
      </c>
      <c r="C33" s="354">
        <v>294</v>
      </c>
      <c r="D33" s="355">
        <v>241</v>
      </c>
      <c r="E33" s="355">
        <v>190</v>
      </c>
      <c r="F33" s="356">
        <v>157</v>
      </c>
      <c r="G33" s="563"/>
      <c r="J33" s="11">
        <v>36</v>
      </c>
      <c r="K33" s="12">
        <f t="shared" si="0"/>
        <v>450000</v>
      </c>
      <c r="M33" s="357" t="s">
        <v>79</v>
      </c>
      <c r="N33" s="358">
        <v>105</v>
      </c>
      <c r="O33" s="358">
        <v>74</v>
      </c>
      <c r="P33" s="358">
        <v>53</v>
      </c>
      <c r="Q33" s="359">
        <v>130</v>
      </c>
    </row>
    <row r="34" spans="1:17">
      <c r="A34" s="6" t="s">
        <v>72</v>
      </c>
      <c r="B34" s="353" t="s">
        <v>24</v>
      </c>
      <c r="C34" s="354">
        <v>88</v>
      </c>
      <c r="D34" s="355">
        <v>74</v>
      </c>
      <c r="E34" s="355">
        <v>55</v>
      </c>
      <c r="F34" s="356">
        <v>39</v>
      </c>
      <c r="G34" s="563"/>
      <c r="M34" s="357" t="s">
        <v>74</v>
      </c>
      <c r="N34" s="358">
        <v>120</v>
      </c>
      <c r="O34" s="358">
        <v>84</v>
      </c>
      <c r="P34" s="358">
        <v>60</v>
      </c>
      <c r="Q34" s="359">
        <v>115</v>
      </c>
    </row>
    <row r="35" spans="1:17">
      <c r="A35" s="6" t="s">
        <v>71</v>
      </c>
      <c r="B35" s="353" t="s">
        <v>23</v>
      </c>
      <c r="C35" s="354">
        <v>164</v>
      </c>
      <c r="D35" s="355">
        <v>137</v>
      </c>
      <c r="E35" s="355">
        <v>102</v>
      </c>
      <c r="F35" s="356">
        <v>78</v>
      </c>
      <c r="G35" s="563"/>
      <c r="M35" s="357" t="s">
        <v>72</v>
      </c>
      <c r="N35" s="358">
        <v>90</v>
      </c>
      <c r="O35" s="358">
        <v>63</v>
      </c>
      <c r="P35" s="358">
        <v>45</v>
      </c>
      <c r="Q35" s="359">
        <v>95</v>
      </c>
    </row>
    <row r="36" spans="1:17">
      <c r="A36" s="6" t="s">
        <v>80</v>
      </c>
      <c r="B36" s="353" t="s">
        <v>43</v>
      </c>
      <c r="C36" s="354">
        <v>88</v>
      </c>
      <c r="D36" s="355">
        <v>74</v>
      </c>
      <c r="E36" s="355">
        <v>55</v>
      </c>
      <c r="F36" s="356">
        <v>39</v>
      </c>
      <c r="G36" s="563"/>
      <c r="M36" s="357" t="s">
        <v>71</v>
      </c>
      <c r="N36" s="358">
        <v>75</v>
      </c>
      <c r="O36" s="358">
        <v>53</v>
      </c>
      <c r="P36" s="358">
        <v>38</v>
      </c>
      <c r="Q36" s="359">
        <v>85</v>
      </c>
    </row>
    <row r="37" spans="1:17" ht="16.5" thickBot="1">
      <c r="A37" s="6" t="s">
        <v>91</v>
      </c>
      <c r="B37" s="4" t="s">
        <v>81</v>
      </c>
      <c r="C37" s="354">
        <v>88</v>
      </c>
      <c r="D37" s="355">
        <v>74</v>
      </c>
      <c r="E37" s="355">
        <v>55</v>
      </c>
      <c r="F37" s="356">
        <v>39</v>
      </c>
      <c r="G37" s="563"/>
      <c r="M37" s="361" t="s">
        <v>80</v>
      </c>
      <c r="N37" s="362">
        <v>105</v>
      </c>
      <c r="O37" s="362">
        <v>74</v>
      </c>
      <c r="P37" s="362">
        <v>53</v>
      </c>
      <c r="Q37" s="352">
        <v>80</v>
      </c>
    </row>
    <row r="38" spans="1:17">
      <c r="A38" s="6" t="s">
        <v>82</v>
      </c>
      <c r="B38" s="4" t="s">
        <v>83</v>
      </c>
      <c r="C38" s="354">
        <v>88</v>
      </c>
      <c r="D38" s="355">
        <v>74</v>
      </c>
      <c r="E38" s="355">
        <v>55</v>
      </c>
      <c r="F38" s="356">
        <v>39</v>
      </c>
      <c r="G38" s="563"/>
    </row>
    <row r="39" spans="1:17">
      <c r="A39" s="6" t="s">
        <v>84</v>
      </c>
      <c r="B39" s="4" t="s">
        <v>85</v>
      </c>
      <c r="C39" s="354">
        <v>93</v>
      </c>
      <c r="D39" s="355">
        <v>67</v>
      </c>
      <c r="E39" s="355">
        <v>44</v>
      </c>
      <c r="F39" s="356">
        <v>32</v>
      </c>
      <c r="G39" s="563"/>
      <c r="J39" s="18" t="s">
        <v>154</v>
      </c>
      <c r="P39" s="18" t="s">
        <v>477</v>
      </c>
    </row>
    <row r="40" spans="1:17" ht="16.5" thickBot="1">
      <c r="A40" s="137" t="s">
        <v>86</v>
      </c>
      <c r="B40" s="5" t="s">
        <v>87</v>
      </c>
      <c r="C40" s="363">
        <v>94</v>
      </c>
      <c r="D40" s="364">
        <v>68</v>
      </c>
      <c r="E40" s="364">
        <v>44</v>
      </c>
      <c r="F40" s="365">
        <v>32</v>
      </c>
      <c r="G40" s="564"/>
      <c r="J40" s="398" t="s">
        <v>453</v>
      </c>
      <c r="K40" s="399"/>
      <c r="L40" s="400"/>
      <c r="M40" s="400"/>
      <c r="N40" s="400"/>
      <c r="O40" s="400"/>
      <c r="P40" s="401" t="s">
        <v>453</v>
      </c>
      <c r="Q40" s="400"/>
    </row>
    <row r="41" spans="1:17" ht="15.75" customHeight="1">
      <c r="A41" s="138" t="s">
        <v>112</v>
      </c>
      <c r="B41" s="139"/>
      <c r="C41" s="366">
        <v>294</v>
      </c>
      <c r="D41" s="347">
        <v>241</v>
      </c>
      <c r="E41" s="347">
        <v>190</v>
      </c>
      <c r="F41" s="348">
        <v>157</v>
      </c>
      <c r="G41" s="568" t="s">
        <v>100</v>
      </c>
      <c r="I41" s="395" t="s">
        <v>460</v>
      </c>
      <c r="J41" s="392" t="s">
        <v>474</v>
      </c>
      <c r="K41" s="380"/>
      <c r="L41" s="381"/>
      <c r="M41" s="381"/>
      <c r="N41" s="381"/>
      <c r="O41" s="382" t="s">
        <v>454</v>
      </c>
      <c r="P41" s="383" t="s">
        <v>340</v>
      </c>
      <c r="Q41" s="382"/>
    </row>
    <row r="42" spans="1:17">
      <c r="A42" s="7" t="s">
        <v>113</v>
      </c>
      <c r="B42" s="367"/>
      <c r="C42" s="368">
        <v>294</v>
      </c>
      <c r="D42" s="355">
        <v>241</v>
      </c>
      <c r="E42" s="355">
        <v>190</v>
      </c>
      <c r="F42" s="356">
        <v>157</v>
      </c>
      <c r="G42" s="569"/>
      <c r="I42" s="396" t="s">
        <v>460</v>
      </c>
      <c r="J42" s="378" t="s">
        <v>469</v>
      </c>
      <c r="K42" s="13"/>
      <c r="L42" s="384"/>
      <c r="M42" s="384"/>
      <c r="N42" s="384"/>
      <c r="O42" s="373"/>
      <c r="P42" s="384" t="s">
        <v>462</v>
      </c>
      <c r="Q42" s="373"/>
    </row>
    <row r="43" spans="1:17" ht="15" customHeight="1">
      <c r="A43" s="7" t="s">
        <v>114</v>
      </c>
      <c r="B43" s="367"/>
      <c r="C43" s="368">
        <v>294</v>
      </c>
      <c r="D43" s="355">
        <v>241</v>
      </c>
      <c r="E43" s="355">
        <v>190</v>
      </c>
      <c r="F43" s="356">
        <v>157</v>
      </c>
      <c r="G43" s="569"/>
      <c r="I43" s="397" t="s">
        <v>460</v>
      </c>
      <c r="J43" s="393" t="s">
        <v>471</v>
      </c>
      <c r="K43" s="386"/>
      <c r="L43" s="387"/>
      <c r="M43" s="387"/>
      <c r="N43" s="387"/>
      <c r="O43" s="388"/>
      <c r="P43" s="387" t="s">
        <v>453</v>
      </c>
      <c r="Q43" s="388"/>
    </row>
    <row r="44" spans="1:17" ht="15" customHeight="1">
      <c r="A44" s="7" t="s">
        <v>115</v>
      </c>
      <c r="B44" s="367"/>
      <c r="C44" s="368">
        <v>294</v>
      </c>
      <c r="D44" s="355">
        <v>241</v>
      </c>
      <c r="E44" s="355">
        <v>190</v>
      </c>
      <c r="F44" s="356">
        <v>157</v>
      </c>
      <c r="G44" s="569"/>
      <c r="I44" s="395" t="s">
        <v>26</v>
      </c>
      <c r="J44" s="379" t="s">
        <v>463</v>
      </c>
      <c r="K44" s="380"/>
      <c r="L44" s="381"/>
      <c r="M44" s="381"/>
      <c r="N44" s="381"/>
      <c r="O44" s="382" t="s">
        <v>454</v>
      </c>
      <c r="P44" s="383" t="s">
        <v>340</v>
      </c>
      <c r="Q44" s="382"/>
    </row>
    <row r="45" spans="1:17" ht="15" customHeight="1">
      <c r="A45" s="7" t="s">
        <v>116</v>
      </c>
      <c r="B45" s="367"/>
      <c r="C45" s="368">
        <v>294</v>
      </c>
      <c r="D45" s="355">
        <v>241</v>
      </c>
      <c r="E45" s="355">
        <v>190</v>
      </c>
      <c r="F45" s="356">
        <v>157</v>
      </c>
      <c r="G45" s="569"/>
      <c r="I45" s="396" t="s">
        <v>26</v>
      </c>
      <c r="J45" s="13" t="s">
        <v>456</v>
      </c>
      <c r="K45" s="13"/>
      <c r="L45" s="389"/>
      <c r="M45" s="389"/>
      <c r="N45" s="389"/>
      <c r="O45" s="373" t="s">
        <v>454</v>
      </c>
      <c r="P45" s="389" t="s">
        <v>340</v>
      </c>
      <c r="Q45" s="373"/>
    </row>
    <row r="46" spans="1:17" ht="15" customHeight="1">
      <c r="A46" s="7" t="s">
        <v>117</v>
      </c>
      <c r="B46" s="367"/>
      <c r="C46" s="368">
        <v>294</v>
      </c>
      <c r="D46" s="355">
        <v>241</v>
      </c>
      <c r="E46" s="355">
        <v>190</v>
      </c>
      <c r="F46" s="356">
        <v>157</v>
      </c>
      <c r="G46" s="569"/>
      <c r="I46" s="396" t="s">
        <v>26</v>
      </c>
      <c r="J46" s="394" t="s">
        <v>472</v>
      </c>
      <c r="K46" s="13"/>
      <c r="L46" s="390"/>
      <c r="M46" s="390"/>
      <c r="N46" s="390"/>
      <c r="O46" s="373" t="s">
        <v>454</v>
      </c>
      <c r="P46" s="390" t="s">
        <v>455</v>
      </c>
      <c r="Q46" s="373"/>
    </row>
    <row r="47" spans="1:17" ht="15" customHeight="1">
      <c r="A47" s="7" t="s">
        <v>101</v>
      </c>
      <c r="B47" s="367"/>
      <c r="C47" s="368">
        <v>294</v>
      </c>
      <c r="D47" s="355">
        <v>241</v>
      </c>
      <c r="E47" s="355">
        <v>190</v>
      </c>
      <c r="F47" s="356">
        <v>157</v>
      </c>
      <c r="G47" s="569"/>
      <c r="I47" s="396" t="s">
        <v>26</v>
      </c>
      <c r="J47" s="378" t="s">
        <v>469</v>
      </c>
      <c r="K47" s="13"/>
      <c r="L47" s="384"/>
      <c r="M47" s="384"/>
      <c r="N47" s="384"/>
      <c r="O47" s="373"/>
      <c r="P47" s="384" t="s">
        <v>462</v>
      </c>
      <c r="Q47" s="373"/>
    </row>
    <row r="48" spans="1:17" ht="15" customHeight="1">
      <c r="A48" s="7" t="s">
        <v>102</v>
      </c>
      <c r="B48" s="367"/>
      <c r="C48" s="368">
        <v>294</v>
      </c>
      <c r="D48" s="355">
        <v>241</v>
      </c>
      <c r="E48" s="355">
        <v>190</v>
      </c>
      <c r="F48" s="356">
        <v>157</v>
      </c>
      <c r="G48" s="569"/>
      <c r="I48" s="397" t="s">
        <v>26</v>
      </c>
      <c r="J48" s="393" t="s">
        <v>471</v>
      </c>
      <c r="K48" s="386"/>
      <c r="L48" s="387"/>
      <c r="M48" s="387"/>
      <c r="N48" s="387"/>
      <c r="O48" s="388"/>
      <c r="P48" s="387" t="s">
        <v>453</v>
      </c>
      <c r="Q48" s="388"/>
    </row>
    <row r="49" spans="1:18" ht="15" customHeight="1">
      <c r="A49" s="7" t="s">
        <v>103</v>
      </c>
      <c r="B49" s="367"/>
      <c r="C49" s="369">
        <v>280</v>
      </c>
      <c r="D49" s="370">
        <v>214</v>
      </c>
      <c r="E49" s="370">
        <v>162</v>
      </c>
      <c r="F49" s="371">
        <v>131</v>
      </c>
      <c r="G49" s="569"/>
      <c r="I49" s="395" t="s">
        <v>461</v>
      </c>
      <c r="J49" s="392" t="s">
        <v>475</v>
      </c>
      <c r="K49" s="380"/>
      <c r="L49" s="381"/>
      <c r="M49" s="381"/>
      <c r="N49" s="381"/>
      <c r="O49" s="382" t="s">
        <v>454</v>
      </c>
      <c r="P49" s="381" t="s">
        <v>340</v>
      </c>
      <c r="Q49" s="382"/>
    </row>
    <row r="50" spans="1:18" ht="15" customHeight="1">
      <c r="A50" s="7" t="s">
        <v>164</v>
      </c>
      <c r="B50" s="367"/>
      <c r="C50" s="369">
        <v>280</v>
      </c>
      <c r="D50" s="370">
        <v>214</v>
      </c>
      <c r="E50" s="370">
        <v>162</v>
      </c>
      <c r="F50" s="371">
        <v>131</v>
      </c>
      <c r="G50" s="569"/>
      <c r="I50" s="396" t="s">
        <v>461</v>
      </c>
      <c r="J50" s="13" t="s">
        <v>457</v>
      </c>
      <c r="K50" s="13"/>
      <c r="L50" s="384"/>
      <c r="M50" s="384"/>
      <c r="N50" s="384"/>
      <c r="O50" s="373"/>
      <c r="P50" s="384" t="s">
        <v>462</v>
      </c>
      <c r="Q50" s="373"/>
    </row>
    <row r="51" spans="1:18" ht="15" customHeight="1">
      <c r="A51" s="7" t="s">
        <v>165</v>
      </c>
      <c r="B51" s="367"/>
      <c r="C51" s="369">
        <v>280</v>
      </c>
      <c r="D51" s="370">
        <v>214</v>
      </c>
      <c r="E51" s="370">
        <v>162</v>
      </c>
      <c r="F51" s="371">
        <v>131</v>
      </c>
      <c r="G51" s="569"/>
      <c r="I51" s="397" t="s">
        <v>461</v>
      </c>
      <c r="J51" s="393" t="s">
        <v>471</v>
      </c>
      <c r="K51" s="386"/>
      <c r="L51" s="387"/>
      <c r="M51" s="387"/>
      <c r="N51" s="387"/>
      <c r="O51" s="388"/>
      <c r="P51" s="387" t="s">
        <v>453</v>
      </c>
      <c r="Q51" s="388"/>
      <c r="R51" s="338"/>
    </row>
    <row r="52" spans="1:18" ht="15" customHeight="1">
      <c r="A52" s="7" t="s">
        <v>166</v>
      </c>
      <c r="B52" s="367"/>
      <c r="C52" s="369">
        <v>280</v>
      </c>
      <c r="D52" s="370">
        <v>214</v>
      </c>
      <c r="E52" s="370">
        <v>162</v>
      </c>
      <c r="F52" s="371">
        <v>131</v>
      </c>
      <c r="G52" s="569"/>
      <c r="I52" s="395" t="s">
        <v>458</v>
      </c>
      <c r="J52" s="392" t="s">
        <v>476</v>
      </c>
      <c r="K52" s="380"/>
      <c r="L52" s="381"/>
      <c r="M52" s="381"/>
      <c r="N52" s="381"/>
      <c r="O52" s="382" t="s">
        <v>454</v>
      </c>
      <c r="P52" s="381" t="s">
        <v>340</v>
      </c>
      <c r="Q52" s="382"/>
      <c r="R52" s="338"/>
    </row>
    <row r="53" spans="1:18" ht="15" customHeight="1">
      <c r="A53" s="7" t="s">
        <v>167</v>
      </c>
      <c r="B53" s="367"/>
      <c r="C53" s="369">
        <v>280</v>
      </c>
      <c r="D53" s="370">
        <v>214</v>
      </c>
      <c r="E53" s="370">
        <v>162</v>
      </c>
      <c r="F53" s="371">
        <v>131</v>
      </c>
      <c r="G53" s="569"/>
      <c r="I53" s="396" t="s">
        <v>458</v>
      </c>
      <c r="J53" s="378" t="s">
        <v>469</v>
      </c>
      <c r="K53" s="13"/>
      <c r="L53" s="384"/>
      <c r="M53" s="384"/>
      <c r="N53" s="384"/>
      <c r="O53" s="373"/>
      <c r="P53" s="384" t="s">
        <v>462</v>
      </c>
      <c r="Q53" s="373"/>
      <c r="R53" s="338"/>
    </row>
    <row r="54" spans="1:18" ht="15" customHeight="1">
      <c r="A54" s="7" t="s">
        <v>168</v>
      </c>
      <c r="B54" s="367"/>
      <c r="C54" s="369">
        <v>280</v>
      </c>
      <c r="D54" s="370">
        <v>214</v>
      </c>
      <c r="E54" s="370">
        <v>162</v>
      </c>
      <c r="F54" s="371">
        <v>131</v>
      </c>
      <c r="G54" s="569"/>
      <c r="I54" s="397" t="s">
        <v>458</v>
      </c>
      <c r="J54" s="393" t="s">
        <v>471</v>
      </c>
      <c r="K54" s="386"/>
      <c r="L54" s="387"/>
      <c r="M54" s="387"/>
      <c r="N54" s="387"/>
      <c r="O54" s="388"/>
      <c r="P54" s="387" t="s">
        <v>453</v>
      </c>
      <c r="Q54" s="388"/>
      <c r="R54" s="338"/>
    </row>
    <row r="55" spans="1:18" ht="15" customHeight="1">
      <c r="A55" s="7" t="s">
        <v>169</v>
      </c>
      <c r="B55" s="367"/>
      <c r="C55" s="369">
        <v>280</v>
      </c>
      <c r="D55" s="370">
        <v>214</v>
      </c>
      <c r="E55" s="370">
        <v>162</v>
      </c>
      <c r="F55" s="371">
        <v>131</v>
      </c>
      <c r="G55" s="569"/>
      <c r="I55" s="395" t="s">
        <v>459</v>
      </c>
      <c r="J55" s="392" t="s">
        <v>470</v>
      </c>
      <c r="K55" s="380"/>
      <c r="L55" s="381"/>
      <c r="M55" s="381"/>
      <c r="N55" s="381"/>
      <c r="O55" s="382"/>
      <c r="P55" s="381" t="s">
        <v>340</v>
      </c>
      <c r="Q55" s="382"/>
      <c r="R55" s="338"/>
    </row>
    <row r="56" spans="1:18" ht="15" customHeight="1">
      <c r="A56" s="7" t="s">
        <v>104</v>
      </c>
      <c r="B56" s="367"/>
      <c r="C56" s="369">
        <v>164</v>
      </c>
      <c r="D56" s="370">
        <v>137</v>
      </c>
      <c r="E56" s="370">
        <v>102</v>
      </c>
      <c r="F56" s="371">
        <v>78</v>
      </c>
      <c r="G56" s="569"/>
      <c r="I56" s="396" t="s">
        <v>459</v>
      </c>
      <c r="J56" s="378" t="s">
        <v>469</v>
      </c>
      <c r="K56" s="13"/>
      <c r="L56" s="384"/>
      <c r="M56" s="384"/>
      <c r="N56" s="384"/>
      <c r="O56" s="373"/>
      <c r="P56" s="384" t="s">
        <v>462</v>
      </c>
      <c r="Q56" s="373"/>
      <c r="R56" s="338"/>
    </row>
    <row r="57" spans="1:18" ht="15" customHeight="1">
      <c r="A57" s="7" t="s">
        <v>170</v>
      </c>
      <c r="B57" s="367"/>
      <c r="C57" s="369">
        <v>164</v>
      </c>
      <c r="D57" s="370">
        <v>137</v>
      </c>
      <c r="E57" s="370">
        <v>102</v>
      </c>
      <c r="F57" s="371">
        <v>78</v>
      </c>
      <c r="G57" s="569"/>
      <c r="I57" s="396" t="s">
        <v>459</v>
      </c>
      <c r="J57" s="13" t="s">
        <v>466</v>
      </c>
      <c r="K57" s="13"/>
      <c r="L57" s="391"/>
      <c r="M57" s="391"/>
      <c r="N57" s="391"/>
      <c r="O57" s="373"/>
      <c r="P57" s="391" t="s">
        <v>121</v>
      </c>
      <c r="Q57" s="373"/>
      <c r="R57" s="338"/>
    </row>
    <row r="58" spans="1:18" ht="15" customHeight="1">
      <c r="A58" s="7" t="s">
        <v>171</v>
      </c>
      <c r="B58" s="367"/>
      <c r="C58" s="369">
        <v>164</v>
      </c>
      <c r="D58" s="370">
        <v>137</v>
      </c>
      <c r="E58" s="370">
        <v>102</v>
      </c>
      <c r="F58" s="371">
        <v>78</v>
      </c>
      <c r="G58" s="569"/>
      <c r="I58" s="396" t="s">
        <v>459</v>
      </c>
      <c r="J58" s="13" t="s">
        <v>467</v>
      </c>
      <c r="K58" s="13"/>
      <c r="L58" s="391"/>
      <c r="M58" s="391"/>
      <c r="N58" s="391"/>
      <c r="O58" s="373"/>
      <c r="P58" s="391" t="s">
        <v>121</v>
      </c>
      <c r="Q58" s="373"/>
      <c r="R58" s="338"/>
    </row>
    <row r="59" spans="1:18" ht="15" customHeight="1">
      <c r="A59" s="7" t="s">
        <v>172</v>
      </c>
      <c r="B59" s="367"/>
      <c r="C59" s="369">
        <v>164</v>
      </c>
      <c r="D59" s="370">
        <v>137</v>
      </c>
      <c r="E59" s="370">
        <v>102</v>
      </c>
      <c r="F59" s="371">
        <v>78</v>
      </c>
      <c r="G59" s="569"/>
      <c r="I59" s="396" t="s">
        <v>459</v>
      </c>
      <c r="J59" s="13" t="s">
        <v>468</v>
      </c>
      <c r="K59" s="13"/>
      <c r="L59" s="391"/>
      <c r="M59" s="391"/>
      <c r="N59" s="391"/>
      <c r="O59" s="373"/>
      <c r="P59" s="391" t="s">
        <v>121</v>
      </c>
      <c r="Q59" s="373"/>
      <c r="R59" s="338"/>
    </row>
    <row r="60" spans="1:18" ht="15" customHeight="1">
      <c r="A60" s="7" t="s">
        <v>173</v>
      </c>
      <c r="B60" s="367"/>
      <c r="C60" s="369">
        <v>164</v>
      </c>
      <c r="D60" s="370">
        <v>137</v>
      </c>
      <c r="E60" s="370">
        <v>102</v>
      </c>
      <c r="F60" s="371">
        <v>78</v>
      </c>
      <c r="G60" s="569"/>
      <c r="I60" s="397" t="s">
        <v>459</v>
      </c>
      <c r="J60" s="385" t="s">
        <v>453</v>
      </c>
      <c r="K60" s="386"/>
      <c r="L60" s="387"/>
      <c r="M60" s="387"/>
      <c r="N60" s="387"/>
      <c r="O60" s="388"/>
      <c r="P60" s="387" t="s">
        <v>453</v>
      </c>
      <c r="Q60" s="388"/>
      <c r="R60" s="338"/>
    </row>
    <row r="61" spans="1:18" ht="15" customHeight="1">
      <c r="A61" s="7" t="s">
        <v>174</v>
      </c>
      <c r="B61" s="367"/>
      <c r="C61" s="369">
        <v>164</v>
      </c>
      <c r="D61" s="370">
        <v>137</v>
      </c>
      <c r="E61" s="370">
        <v>102</v>
      </c>
      <c r="F61" s="371">
        <v>78</v>
      </c>
      <c r="G61" s="569"/>
      <c r="J61" s="13"/>
      <c r="R61" s="338"/>
    </row>
    <row r="62" spans="1:18" ht="15" customHeight="1">
      <c r="A62" s="7" t="s">
        <v>175</v>
      </c>
      <c r="B62" s="367"/>
      <c r="C62" s="369">
        <v>164</v>
      </c>
      <c r="D62" s="370">
        <v>137</v>
      </c>
      <c r="E62" s="370">
        <v>102</v>
      </c>
      <c r="F62" s="371">
        <v>78</v>
      </c>
      <c r="G62" s="569"/>
      <c r="J62" s="13"/>
    </row>
    <row r="63" spans="1:18" ht="15" customHeight="1">
      <c r="A63" s="7" t="s">
        <v>176</v>
      </c>
      <c r="B63" s="367"/>
      <c r="C63" s="369">
        <v>164</v>
      </c>
      <c r="D63" s="370">
        <v>137</v>
      </c>
      <c r="E63" s="370">
        <v>102</v>
      </c>
      <c r="F63" s="371">
        <v>78</v>
      </c>
      <c r="G63" s="569"/>
      <c r="J63" s="13"/>
    </row>
    <row r="64" spans="1:18" ht="15" customHeight="1">
      <c r="A64" s="7" t="s">
        <v>177</v>
      </c>
      <c r="B64" s="367"/>
      <c r="C64" s="369">
        <v>164</v>
      </c>
      <c r="D64" s="370">
        <v>137</v>
      </c>
      <c r="E64" s="370">
        <v>102</v>
      </c>
      <c r="F64" s="371">
        <v>78</v>
      </c>
      <c r="G64" s="569"/>
      <c r="J64" s="13"/>
    </row>
    <row r="65" spans="1:10" ht="15" customHeight="1">
      <c r="A65" s="7" t="s">
        <v>105</v>
      </c>
      <c r="B65" s="367"/>
      <c r="C65" s="369">
        <v>88</v>
      </c>
      <c r="D65" s="370">
        <v>74</v>
      </c>
      <c r="E65" s="370">
        <v>55</v>
      </c>
      <c r="F65" s="371">
        <v>39</v>
      </c>
      <c r="G65" s="569"/>
      <c r="J65" s="13"/>
    </row>
    <row r="66" spans="1:10" ht="15.95" customHeight="1">
      <c r="A66" s="7" t="s">
        <v>178</v>
      </c>
      <c r="B66" s="367"/>
      <c r="C66" s="369">
        <v>88</v>
      </c>
      <c r="D66" s="370">
        <v>74</v>
      </c>
      <c r="E66" s="370">
        <v>55</v>
      </c>
      <c r="F66" s="371">
        <v>39</v>
      </c>
      <c r="G66" s="569"/>
      <c r="J66" s="13"/>
    </row>
    <row r="67" spans="1:10">
      <c r="A67" s="7" t="s">
        <v>179</v>
      </c>
      <c r="B67" s="367"/>
      <c r="C67" s="369">
        <v>88</v>
      </c>
      <c r="D67" s="370">
        <v>74</v>
      </c>
      <c r="E67" s="370">
        <v>55</v>
      </c>
      <c r="F67" s="371">
        <v>39</v>
      </c>
      <c r="G67" s="569"/>
      <c r="J67" s="13"/>
    </row>
    <row r="68" spans="1:10">
      <c r="A68" s="7" t="s">
        <v>180</v>
      </c>
      <c r="B68" s="367"/>
      <c r="C68" s="369">
        <v>88</v>
      </c>
      <c r="D68" s="370">
        <v>74</v>
      </c>
      <c r="E68" s="370">
        <v>55</v>
      </c>
      <c r="F68" s="371">
        <v>39</v>
      </c>
      <c r="G68" s="569"/>
      <c r="J68" s="13"/>
    </row>
    <row r="69" spans="1:10">
      <c r="A69" s="7" t="s">
        <v>181</v>
      </c>
      <c r="B69" s="367"/>
      <c r="C69" s="369">
        <v>88</v>
      </c>
      <c r="D69" s="370">
        <v>74</v>
      </c>
      <c r="E69" s="370">
        <v>55</v>
      </c>
      <c r="F69" s="371">
        <v>39</v>
      </c>
      <c r="G69" s="569"/>
      <c r="J69" s="13"/>
    </row>
    <row r="70" spans="1:10">
      <c r="A70" s="7" t="s">
        <v>182</v>
      </c>
      <c r="B70" s="367"/>
      <c r="C70" s="369">
        <v>88</v>
      </c>
      <c r="D70" s="370">
        <v>74</v>
      </c>
      <c r="E70" s="370">
        <v>55</v>
      </c>
      <c r="F70" s="371">
        <v>39</v>
      </c>
      <c r="G70" s="569"/>
      <c r="J70" s="13"/>
    </row>
    <row r="71" spans="1:10">
      <c r="A71" s="7" t="s">
        <v>183</v>
      </c>
      <c r="B71" s="367"/>
      <c r="C71" s="369">
        <v>88</v>
      </c>
      <c r="D71" s="370">
        <v>74</v>
      </c>
      <c r="E71" s="370">
        <v>55</v>
      </c>
      <c r="F71" s="371">
        <v>39</v>
      </c>
      <c r="G71" s="569"/>
      <c r="J71" s="13"/>
    </row>
    <row r="72" spans="1:10">
      <c r="A72" s="7" t="s">
        <v>184</v>
      </c>
      <c r="B72" s="367"/>
      <c r="C72" s="369">
        <v>88</v>
      </c>
      <c r="D72" s="370">
        <v>74</v>
      </c>
      <c r="E72" s="370">
        <v>55</v>
      </c>
      <c r="F72" s="371">
        <v>39</v>
      </c>
      <c r="G72" s="569"/>
      <c r="J72" s="13"/>
    </row>
    <row r="73" spans="1:10">
      <c r="A73" s="7" t="s">
        <v>185</v>
      </c>
      <c r="B73" s="367"/>
      <c r="C73" s="369">
        <v>88</v>
      </c>
      <c r="D73" s="370">
        <v>74</v>
      </c>
      <c r="E73" s="370">
        <v>55</v>
      </c>
      <c r="F73" s="371">
        <v>39</v>
      </c>
      <c r="G73" s="569"/>
    </row>
    <row r="74" spans="1:10">
      <c r="A74" s="7" t="s">
        <v>186</v>
      </c>
      <c r="B74" s="367"/>
      <c r="C74" s="369">
        <v>88</v>
      </c>
      <c r="D74" s="370">
        <v>74</v>
      </c>
      <c r="E74" s="370">
        <v>55</v>
      </c>
      <c r="F74" s="371">
        <v>39</v>
      </c>
      <c r="G74" s="569"/>
    </row>
    <row r="75" spans="1:10">
      <c r="A75" s="7" t="s">
        <v>187</v>
      </c>
      <c r="B75" s="367"/>
      <c r="C75" s="369">
        <v>88</v>
      </c>
      <c r="D75" s="370">
        <v>74</v>
      </c>
      <c r="E75" s="370">
        <v>55</v>
      </c>
      <c r="F75" s="371">
        <v>39</v>
      </c>
      <c r="G75" s="569"/>
    </row>
    <row r="76" spans="1:10">
      <c r="A76" s="7" t="s">
        <v>188</v>
      </c>
      <c r="B76" s="367"/>
      <c r="C76" s="369">
        <v>88</v>
      </c>
      <c r="D76" s="370">
        <v>74</v>
      </c>
      <c r="E76" s="370">
        <v>55</v>
      </c>
      <c r="F76" s="371">
        <v>39</v>
      </c>
      <c r="G76" s="569"/>
    </row>
    <row r="77" spans="1:10">
      <c r="A77" s="7" t="s">
        <v>189</v>
      </c>
      <c r="B77" s="367"/>
      <c r="C77" s="369">
        <v>88</v>
      </c>
      <c r="D77" s="370">
        <v>74</v>
      </c>
      <c r="E77" s="370">
        <v>55</v>
      </c>
      <c r="F77" s="371">
        <v>39</v>
      </c>
      <c r="G77" s="569"/>
    </row>
    <row r="78" spans="1:10">
      <c r="A78" s="7" t="s">
        <v>190</v>
      </c>
      <c r="B78" s="367"/>
      <c r="C78" s="369">
        <v>88</v>
      </c>
      <c r="D78" s="370">
        <v>74</v>
      </c>
      <c r="E78" s="370">
        <v>55</v>
      </c>
      <c r="F78" s="371">
        <v>39</v>
      </c>
      <c r="G78" s="569"/>
    </row>
    <row r="79" spans="1:10">
      <c r="A79" s="7" t="s">
        <v>191</v>
      </c>
      <c r="B79" s="367"/>
      <c r="C79" s="369">
        <v>88</v>
      </c>
      <c r="D79" s="370">
        <v>74</v>
      </c>
      <c r="E79" s="370">
        <v>55</v>
      </c>
      <c r="F79" s="371">
        <v>39</v>
      </c>
      <c r="G79" s="569"/>
    </row>
    <row r="80" spans="1:10">
      <c r="A80" s="7" t="s">
        <v>192</v>
      </c>
      <c r="B80" s="367"/>
      <c r="C80" s="369">
        <v>88</v>
      </c>
      <c r="D80" s="370">
        <v>74</v>
      </c>
      <c r="E80" s="370">
        <v>55</v>
      </c>
      <c r="F80" s="371">
        <v>39</v>
      </c>
      <c r="G80" s="569"/>
    </row>
    <row r="81" spans="1:7">
      <c r="A81" s="7" t="s">
        <v>193</v>
      </c>
      <c r="B81" s="367"/>
      <c r="C81" s="369">
        <v>88</v>
      </c>
      <c r="D81" s="370">
        <v>74</v>
      </c>
      <c r="E81" s="370">
        <v>55</v>
      </c>
      <c r="F81" s="371">
        <v>39</v>
      </c>
      <c r="G81" s="569"/>
    </row>
    <row r="82" spans="1:7">
      <c r="A82" s="7" t="s">
        <v>194</v>
      </c>
      <c r="B82" s="367"/>
      <c r="C82" s="369">
        <v>88</v>
      </c>
      <c r="D82" s="370">
        <v>74</v>
      </c>
      <c r="E82" s="370">
        <v>55</v>
      </c>
      <c r="F82" s="371">
        <v>39</v>
      </c>
      <c r="G82" s="569"/>
    </row>
    <row r="83" spans="1:7">
      <c r="A83" s="7" t="s">
        <v>195</v>
      </c>
      <c r="B83" s="367"/>
      <c r="C83" s="369">
        <v>88</v>
      </c>
      <c r="D83" s="370">
        <v>74</v>
      </c>
      <c r="E83" s="370">
        <v>55</v>
      </c>
      <c r="F83" s="371">
        <v>39</v>
      </c>
      <c r="G83" s="569"/>
    </row>
    <row r="84" spans="1:7">
      <c r="A84" s="7" t="s">
        <v>196</v>
      </c>
      <c r="B84" s="367"/>
      <c r="C84" s="369">
        <v>88</v>
      </c>
      <c r="D84" s="370">
        <v>74</v>
      </c>
      <c r="E84" s="370">
        <v>55</v>
      </c>
      <c r="F84" s="371">
        <v>39</v>
      </c>
      <c r="G84" s="569"/>
    </row>
    <row r="85" spans="1:7">
      <c r="A85" s="7" t="s">
        <v>197</v>
      </c>
      <c r="B85" s="367"/>
      <c r="C85" s="369">
        <v>88</v>
      </c>
      <c r="D85" s="370">
        <v>74</v>
      </c>
      <c r="E85" s="370">
        <v>55</v>
      </c>
      <c r="F85" s="371">
        <v>39</v>
      </c>
      <c r="G85" s="569"/>
    </row>
    <row r="86" spans="1:7">
      <c r="A86" s="7" t="s">
        <v>198</v>
      </c>
      <c r="B86" s="367"/>
      <c r="C86" s="369">
        <v>88</v>
      </c>
      <c r="D86" s="370">
        <v>74</v>
      </c>
      <c r="E86" s="370">
        <v>55</v>
      </c>
      <c r="F86" s="371">
        <v>39</v>
      </c>
      <c r="G86" s="569"/>
    </row>
    <row r="87" spans="1:7">
      <c r="A87" s="7" t="s">
        <v>199</v>
      </c>
      <c r="B87" s="367"/>
      <c r="C87" s="369">
        <v>88</v>
      </c>
      <c r="D87" s="370">
        <v>74</v>
      </c>
      <c r="E87" s="370">
        <v>55</v>
      </c>
      <c r="F87" s="371">
        <v>39</v>
      </c>
      <c r="G87" s="569"/>
    </row>
    <row r="88" spans="1:7">
      <c r="A88" s="7" t="s">
        <v>200</v>
      </c>
      <c r="B88" s="367"/>
      <c r="C88" s="369">
        <v>88</v>
      </c>
      <c r="D88" s="370">
        <v>74</v>
      </c>
      <c r="E88" s="370">
        <v>55</v>
      </c>
      <c r="F88" s="371">
        <v>39</v>
      </c>
      <c r="G88" s="569"/>
    </row>
    <row r="89" spans="1:7">
      <c r="A89" s="7" t="s">
        <v>201</v>
      </c>
      <c r="B89" s="367"/>
      <c r="C89" s="369">
        <v>88</v>
      </c>
      <c r="D89" s="370">
        <v>74</v>
      </c>
      <c r="E89" s="370">
        <v>55</v>
      </c>
      <c r="F89" s="371">
        <v>39</v>
      </c>
      <c r="G89" s="569"/>
    </row>
    <row r="90" spans="1:7">
      <c r="A90" s="7" t="s">
        <v>202</v>
      </c>
      <c r="B90" s="367"/>
      <c r="C90" s="369">
        <v>88</v>
      </c>
      <c r="D90" s="370">
        <v>74</v>
      </c>
      <c r="E90" s="370">
        <v>55</v>
      </c>
      <c r="F90" s="371">
        <v>39</v>
      </c>
      <c r="G90" s="569"/>
    </row>
    <row r="91" spans="1:7">
      <c r="A91" s="7" t="s">
        <v>203</v>
      </c>
      <c r="B91" s="367"/>
      <c r="C91" s="369">
        <v>88</v>
      </c>
      <c r="D91" s="370">
        <v>74</v>
      </c>
      <c r="E91" s="370">
        <v>55</v>
      </c>
      <c r="F91" s="371">
        <v>39</v>
      </c>
      <c r="G91" s="569"/>
    </row>
    <row r="92" spans="1:7">
      <c r="A92" s="7" t="s">
        <v>204</v>
      </c>
      <c r="B92" s="367"/>
      <c r="C92" s="369">
        <v>88</v>
      </c>
      <c r="D92" s="370">
        <v>74</v>
      </c>
      <c r="E92" s="370">
        <v>55</v>
      </c>
      <c r="F92" s="371">
        <v>39</v>
      </c>
      <c r="G92" s="569"/>
    </row>
    <row r="93" spans="1:7">
      <c r="A93" s="7" t="s">
        <v>205</v>
      </c>
      <c r="B93" s="367"/>
      <c r="C93" s="369">
        <v>88</v>
      </c>
      <c r="D93" s="370">
        <v>74</v>
      </c>
      <c r="E93" s="370">
        <v>55</v>
      </c>
      <c r="F93" s="371">
        <v>39</v>
      </c>
      <c r="G93" s="569"/>
    </row>
    <row r="94" spans="1:7">
      <c r="A94" s="7" t="s">
        <v>206</v>
      </c>
      <c r="B94" s="367"/>
      <c r="C94" s="369">
        <v>88</v>
      </c>
      <c r="D94" s="370">
        <v>74</v>
      </c>
      <c r="E94" s="370">
        <v>55</v>
      </c>
      <c r="F94" s="371">
        <v>39</v>
      </c>
      <c r="G94" s="569"/>
    </row>
    <row r="95" spans="1:7">
      <c r="A95" s="7" t="s">
        <v>207</v>
      </c>
      <c r="B95" s="367"/>
      <c r="C95" s="369">
        <v>88</v>
      </c>
      <c r="D95" s="370">
        <v>74</v>
      </c>
      <c r="E95" s="370">
        <v>55</v>
      </c>
      <c r="F95" s="371">
        <v>39</v>
      </c>
      <c r="G95" s="569"/>
    </row>
    <row r="96" spans="1:7">
      <c r="A96" s="7" t="s">
        <v>208</v>
      </c>
      <c r="B96" s="367"/>
      <c r="C96" s="369">
        <v>88</v>
      </c>
      <c r="D96" s="370">
        <v>74</v>
      </c>
      <c r="E96" s="370">
        <v>55</v>
      </c>
      <c r="F96" s="371">
        <v>39</v>
      </c>
      <c r="G96" s="569"/>
    </row>
    <row r="97" spans="1:7">
      <c r="A97" s="7" t="s">
        <v>209</v>
      </c>
      <c r="B97" s="367"/>
      <c r="C97" s="369">
        <v>88</v>
      </c>
      <c r="D97" s="370">
        <v>74</v>
      </c>
      <c r="E97" s="370">
        <v>55</v>
      </c>
      <c r="F97" s="371">
        <v>39</v>
      </c>
      <c r="G97" s="569"/>
    </row>
    <row r="98" spans="1:7">
      <c r="A98" s="7" t="s">
        <v>210</v>
      </c>
      <c r="B98" s="367"/>
      <c r="C98" s="369">
        <v>88</v>
      </c>
      <c r="D98" s="370">
        <v>74</v>
      </c>
      <c r="E98" s="370">
        <v>55</v>
      </c>
      <c r="F98" s="371">
        <v>39</v>
      </c>
      <c r="G98" s="569"/>
    </row>
    <row r="99" spans="1:7">
      <c r="A99" s="7" t="s">
        <v>211</v>
      </c>
      <c r="B99" s="367"/>
      <c r="C99" s="369">
        <v>88</v>
      </c>
      <c r="D99" s="370">
        <v>74</v>
      </c>
      <c r="E99" s="370">
        <v>55</v>
      </c>
      <c r="F99" s="371">
        <v>39</v>
      </c>
      <c r="G99" s="569"/>
    </row>
    <row r="100" spans="1:7">
      <c r="A100" s="7" t="s">
        <v>212</v>
      </c>
      <c r="B100" s="367"/>
      <c r="C100" s="369">
        <v>88</v>
      </c>
      <c r="D100" s="370">
        <v>74</v>
      </c>
      <c r="E100" s="370">
        <v>55</v>
      </c>
      <c r="F100" s="371">
        <v>39</v>
      </c>
      <c r="G100" s="569"/>
    </row>
    <row r="101" spans="1:7">
      <c r="A101" s="7" t="s">
        <v>213</v>
      </c>
      <c r="B101" s="367"/>
      <c r="C101" s="369">
        <v>88</v>
      </c>
      <c r="D101" s="370">
        <v>74</v>
      </c>
      <c r="E101" s="370">
        <v>55</v>
      </c>
      <c r="F101" s="371">
        <v>39</v>
      </c>
      <c r="G101" s="569"/>
    </row>
    <row r="102" spans="1:7">
      <c r="A102" s="7" t="s">
        <v>214</v>
      </c>
      <c r="B102" s="367"/>
      <c r="C102" s="369">
        <v>88</v>
      </c>
      <c r="D102" s="370">
        <v>74</v>
      </c>
      <c r="E102" s="370">
        <v>55</v>
      </c>
      <c r="F102" s="371">
        <v>39</v>
      </c>
      <c r="G102" s="569"/>
    </row>
    <row r="103" spans="1:7">
      <c r="A103" s="7" t="s">
        <v>215</v>
      </c>
      <c r="B103" s="367"/>
      <c r="C103" s="369">
        <v>88</v>
      </c>
      <c r="D103" s="370">
        <v>74</v>
      </c>
      <c r="E103" s="370">
        <v>55</v>
      </c>
      <c r="F103" s="371">
        <v>39</v>
      </c>
      <c r="G103" s="569"/>
    </row>
    <row r="104" spans="1:7">
      <c r="A104" s="7" t="s">
        <v>216</v>
      </c>
      <c r="B104" s="367"/>
      <c r="C104" s="369">
        <v>88</v>
      </c>
      <c r="D104" s="370">
        <v>74</v>
      </c>
      <c r="E104" s="370">
        <v>55</v>
      </c>
      <c r="F104" s="371">
        <v>39</v>
      </c>
      <c r="G104" s="569"/>
    </row>
    <row r="105" spans="1:7">
      <c r="A105" s="7" t="s">
        <v>217</v>
      </c>
      <c r="B105" s="367"/>
      <c r="C105" s="369">
        <v>88</v>
      </c>
      <c r="D105" s="370">
        <v>74</v>
      </c>
      <c r="E105" s="370">
        <v>55</v>
      </c>
      <c r="F105" s="371">
        <v>39</v>
      </c>
      <c r="G105" s="569"/>
    </row>
    <row r="106" spans="1:7">
      <c r="A106" s="7" t="s">
        <v>218</v>
      </c>
      <c r="B106" s="367"/>
      <c r="C106" s="369">
        <v>88</v>
      </c>
      <c r="D106" s="370">
        <v>74</v>
      </c>
      <c r="E106" s="370">
        <v>55</v>
      </c>
      <c r="F106" s="371">
        <v>39</v>
      </c>
      <c r="G106" s="569"/>
    </row>
    <row r="107" spans="1:7">
      <c r="A107" s="7" t="s">
        <v>219</v>
      </c>
      <c r="B107" s="367"/>
      <c r="C107" s="369">
        <v>88</v>
      </c>
      <c r="D107" s="370">
        <v>74</v>
      </c>
      <c r="E107" s="370">
        <v>55</v>
      </c>
      <c r="F107" s="371">
        <v>39</v>
      </c>
      <c r="G107" s="569"/>
    </row>
    <row r="108" spans="1:7">
      <c r="A108" s="7" t="s">
        <v>220</v>
      </c>
      <c r="B108" s="367"/>
      <c r="C108" s="369">
        <v>88</v>
      </c>
      <c r="D108" s="370">
        <v>74</v>
      </c>
      <c r="E108" s="370">
        <v>55</v>
      </c>
      <c r="F108" s="371">
        <v>39</v>
      </c>
      <c r="G108" s="569"/>
    </row>
    <row r="109" spans="1:7">
      <c r="A109" s="7" t="s">
        <v>221</v>
      </c>
      <c r="B109" s="367"/>
      <c r="C109" s="369">
        <v>88</v>
      </c>
      <c r="D109" s="370">
        <v>74</v>
      </c>
      <c r="E109" s="370">
        <v>55</v>
      </c>
      <c r="F109" s="371">
        <v>39</v>
      </c>
      <c r="G109" s="569"/>
    </row>
    <row r="110" spans="1:7">
      <c r="A110" s="7" t="s">
        <v>222</v>
      </c>
      <c r="B110" s="367"/>
      <c r="C110" s="369">
        <v>88</v>
      </c>
      <c r="D110" s="370">
        <v>74</v>
      </c>
      <c r="E110" s="370">
        <v>55</v>
      </c>
      <c r="F110" s="371">
        <v>39</v>
      </c>
      <c r="G110" s="569"/>
    </row>
    <row r="111" spans="1:7">
      <c r="A111" s="7" t="s">
        <v>223</v>
      </c>
      <c r="B111" s="367"/>
      <c r="C111" s="369">
        <v>88</v>
      </c>
      <c r="D111" s="370">
        <v>74</v>
      </c>
      <c r="E111" s="370">
        <v>55</v>
      </c>
      <c r="F111" s="371">
        <v>39</v>
      </c>
      <c r="G111" s="569"/>
    </row>
    <row r="112" spans="1:7">
      <c r="A112" s="7" t="s">
        <v>224</v>
      </c>
      <c r="B112" s="367"/>
      <c r="C112" s="369">
        <v>88</v>
      </c>
      <c r="D112" s="370">
        <v>74</v>
      </c>
      <c r="E112" s="370">
        <v>55</v>
      </c>
      <c r="F112" s="371">
        <v>39</v>
      </c>
      <c r="G112" s="569"/>
    </row>
    <row r="113" spans="1:7">
      <c r="A113" s="7" t="s">
        <v>225</v>
      </c>
      <c r="B113" s="367"/>
      <c r="C113" s="369">
        <v>88</v>
      </c>
      <c r="D113" s="370">
        <v>74</v>
      </c>
      <c r="E113" s="370">
        <v>55</v>
      </c>
      <c r="F113" s="371">
        <v>39</v>
      </c>
      <c r="G113" s="569"/>
    </row>
    <row r="114" spans="1:7">
      <c r="A114" s="7" t="s">
        <v>226</v>
      </c>
      <c r="B114" s="367"/>
      <c r="C114" s="369">
        <v>88</v>
      </c>
      <c r="D114" s="370">
        <v>74</v>
      </c>
      <c r="E114" s="370">
        <v>55</v>
      </c>
      <c r="F114" s="371">
        <v>39</v>
      </c>
      <c r="G114" s="569"/>
    </row>
    <row r="115" spans="1:7">
      <c r="A115" s="7" t="s">
        <v>227</v>
      </c>
      <c r="B115" s="367"/>
      <c r="C115" s="369">
        <v>88</v>
      </c>
      <c r="D115" s="370">
        <v>74</v>
      </c>
      <c r="E115" s="370">
        <v>55</v>
      </c>
      <c r="F115" s="371">
        <v>39</v>
      </c>
      <c r="G115" s="569"/>
    </row>
    <row r="116" spans="1:7">
      <c r="A116" s="7" t="s">
        <v>228</v>
      </c>
      <c r="B116" s="367"/>
      <c r="C116" s="369">
        <v>88</v>
      </c>
      <c r="D116" s="370">
        <v>74</v>
      </c>
      <c r="E116" s="370">
        <v>55</v>
      </c>
      <c r="F116" s="371">
        <v>39</v>
      </c>
      <c r="G116" s="569"/>
    </row>
    <row r="117" spans="1:7">
      <c r="A117" s="7" t="s">
        <v>229</v>
      </c>
      <c r="B117" s="367"/>
      <c r="C117" s="369">
        <v>88</v>
      </c>
      <c r="D117" s="370">
        <v>74</v>
      </c>
      <c r="E117" s="370">
        <v>55</v>
      </c>
      <c r="F117" s="371">
        <v>39</v>
      </c>
      <c r="G117" s="569"/>
    </row>
    <row r="118" spans="1:7">
      <c r="A118" s="7" t="s">
        <v>230</v>
      </c>
      <c r="B118" s="367"/>
      <c r="C118" s="369">
        <v>88</v>
      </c>
      <c r="D118" s="370">
        <v>74</v>
      </c>
      <c r="E118" s="370">
        <v>55</v>
      </c>
      <c r="F118" s="371">
        <v>39</v>
      </c>
      <c r="G118" s="569"/>
    </row>
    <row r="119" spans="1:7">
      <c r="A119" s="7" t="s">
        <v>231</v>
      </c>
      <c r="B119" s="367"/>
      <c r="C119" s="369">
        <v>88</v>
      </c>
      <c r="D119" s="370">
        <v>74</v>
      </c>
      <c r="E119" s="370">
        <v>55</v>
      </c>
      <c r="F119" s="371">
        <v>39</v>
      </c>
      <c r="G119" s="569"/>
    </row>
    <row r="120" spans="1:7">
      <c r="A120" s="7" t="s">
        <v>232</v>
      </c>
      <c r="B120" s="367"/>
      <c r="C120" s="369">
        <v>88</v>
      </c>
      <c r="D120" s="370">
        <v>74</v>
      </c>
      <c r="E120" s="370">
        <v>55</v>
      </c>
      <c r="F120" s="371">
        <v>39</v>
      </c>
      <c r="G120" s="569"/>
    </row>
    <row r="121" spans="1:7">
      <c r="A121" s="7" t="s">
        <v>233</v>
      </c>
      <c r="B121" s="367"/>
      <c r="C121" s="369">
        <v>88</v>
      </c>
      <c r="D121" s="370">
        <v>74</v>
      </c>
      <c r="E121" s="370">
        <v>55</v>
      </c>
      <c r="F121" s="371">
        <v>39</v>
      </c>
      <c r="G121" s="569"/>
    </row>
    <row r="122" spans="1:7">
      <c r="A122" s="7" t="s">
        <v>234</v>
      </c>
      <c r="B122" s="367"/>
      <c r="C122" s="369">
        <v>88</v>
      </c>
      <c r="D122" s="370">
        <v>74</v>
      </c>
      <c r="E122" s="370">
        <v>55</v>
      </c>
      <c r="F122" s="371">
        <v>39</v>
      </c>
      <c r="G122" s="569"/>
    </row>
    <row r="123" spans="1:7">
      <c r="A123" s="7" t="s">
        <v>235</v>
      </c>
      <c r="B123" s="367"/>
      <c r="C123" s="369">
        <v>88</v>
      </c>
      <c r="D123" s="370">
        <v>74</v>
      </c>
      <c r="E123" s="370">
        <v>55</v>
      </c>
      <c r="F123" s="371">
        <v>39</v>
      </c>
      <c r="G123" s="569"/>
    </row>
    <row r="124" spans="1:7">
      <c r="A124" s="7" t="s">
        <v>236</v>
      </c>
      <c r="B124" s="367"/>
      <c r="C124" s="369">
        <v>88</v>
      </c>
      <c r="D124" s="370">
        <v>74</v>
      </c>
      <c r="E124" s="370">
        <v>55</v>
      </c>
      <c r="F124" s="371">
        <v>39</v>
      </c>
      <c r="G124" s="569"/>
    </row>
    <row r="125" spans="1:7">
      <c r="A125" s="7" t="s">
        <v>237</v>
      </c>
      <c r="B125" s="367"/>
      <c r="C125" s="369">
        <v>88</v>
      </c>
      <c r="D125" s="370">
        <v>74</v>
      </c>
      <c r="E125" s="370">
        <v>55</v>
      </c>
      <c r="F125" s="371">
        <v>39</v>
      </c>
      <c r="G125" s="569"/>
    </row>
    <row r="126" spans="1:7">
      <c r="A126" s="7" t="s">
        <v>238</v>
      </c>
      <c r="B126" s="367"/>
      <c r="C126" s="369">
        <v>88</v>
      </c>
      <c r="D126" s="370">
        <v>74</v>
      </c>
      <c r="E126" s="370">
        <v>55</v>
      </c>
      <c r="F126" s="371">
        <v>39</v>
      </c>
      <c r="G126" s="569"/>
    </row>
    <row r="127" spans="1:7">
      <c r="A127" s="7" t="s">
        <v>239</v>
      </c>
      <c r="B127" s="367"/>
      <c r="C127" s="369">
        <v>88</v>
      </c>
      <c r="D127" s="370">
        <v>74</v>
      </c>
      <c r="E127" s="370">
        <v>55</v>
      </c>
      <c r="F127" s="371">
        <v>39</v>
      </c>
      <c r="G127" s="569"/>
    </row>
    <row r="128" spans="1:7">
      <c r="A128" s="7" t="s">
        <v>240</v>
      </c>
      <c r="B128" s="367"/>
      <c r="C128" s="369">
        <v>88</v>
      </c>
      <c r="D128" s="370">
        <v>74</v>
      </c>
      <c r="E128" s="370">
        <v>55</v>
      </c>
      <c r="F128" s="371">
        <v>39</v>
      </c>
      <c r="G128" s="569"/>
    </row>
    <row r="129" spans="1:7">
      <c r="A129" s="7" t="s">
        <v>241</v>
      </c>
      <c r="B129" s="367"/>
      <c r="C129" s="369">
        <v>88</v>
      </c>
      <c r="D129" s="370">
        <v>74</v>
      </c>
      <c r="E129" s="370">
        <v>55</v>
      </c>
      <c r="F129" s="371">
        <v>39</v>
      </c>
      <c r="G129" s="569"/>
    </row>
    <row r="130" spans="1:7">
      <c r="A130" s="7" t="s">
        <v>242</v>
      </c>
      <c r="B130" s="367"/>
      <c r="C130" s="369">
        <v>88</v>
      </c>
      <c r="D130" s="370">
        <v>74</v>
      </c>
      <c r="E130" s="370">
        <v>55</v>
      </c>
      <c r="F130" s="371">
        <v>39</v>
      </c>
      <c r="G130" s="569"/>
    </row>
    <row r="131" spans="1:7">
      <c r="A131" s="7" t="s">
        <v>243</v>
      </c>
      <c r="B131" s="367"/>
      <c r="C131" s="369">
        <v>88</v>
      </c>
      <c r="D131" s="370">
        <v>74</v>
      </c>
      <c r="E131" s="370">
        <v>55</v>
      </c>
      <c r="F131" s="371">
        <v>39</v>
      </c>
      <c r="G131" s="569"/>
    </row>
    <row r="132" spans="1:7">
      <c r="A132" s="7" t="s">
        <v>244</v>
      </c>
      <c r="B132" s="367"/>
      <c r="C132" s="369">
        <v>88</v>
      </c>
      <c r="D132" s="370">
        <v>74</v>
      </c>
      <c r="E132" s="370">
        <v>55</v>
      </c>
      <c r="F132" s="371">
        <v>39</v>
      </c>
      <c r="G132" s="569"/>
    </row>
    <row r="133" spans="1:7">
      <c r="A133" s="7" t="s">
        <v>245</v>
      </c>
      <c r="B133" s="367"/>
      <c r="C133" s="369">
        <v>88</v>
      </c>
      <c r="D133" s="370">
        <v>74</v>
      </c>
      <c r="E133" s="370">
        <v>55</v>
      </c>
      <c r="F133" s="371">
        <v>39</v>
      </c>
      <c r="G133" s="569"/>
    </row>
    <row r="134" spans="1:7">
      <c r="A134" s="7" t="s">
        <v>246</v>
      </c>
      <c r="B134" s="367"/>
      <c r="C134" s="369">
        <v>88</v>
      </c>
      <c r="D134" s="370">
        <v>74</v>
      </c>
      <c r="E134" s="370">
        <v>55</v>
      </c>
      <c r="F134" s="371">
        <v>39</v>
      </c>
      <c r="G134" s="569"/>
    </row>
    <row r="135" spans="1:7">
      <c r="A135" s="7" t="s">
        <v>247</v>
      </c>
      <c r="B135" s="367"/>
      <c r="C135" s="369">
        <v>88</v>
      </c>
      <c r="D135" s="370">
        <v>74</v>
      </c>
      <c r="E135" s="370">
        <v>55</v>
      </c>
      <c r="F135" s="371">
        <v>39</v>
      </c>
      <c r="G135" s="569"/>
    </row>
    <row r="136" spans="1:7">
      <c r="A136" s="7" t="s">
        <v>248</v>
      </c>
      <c r="B136" s="367"/>
      <c r="C136" s="369">
        <v>88</v>
      </c>
      <c r="D136" s="370">
        <v>74</v>
      </c>
      <c r="E136" s="370">
        <v>55</v>
      </c>
      <c r="F136" s="371">
        <v>39</v>
      </c>
      <c r="G136" s="569"/>
    </row>
    <row r="137" spans="1:7">
      <c r="A137" s="7" t="s">
        <v>249</v>
      </c>
      <c r="B137" s="367"/>
      <c r="C137" s="369">
        <v>88</v>
      </c>
      <c r="D137" s="370">
        <v>74</v>
      </c>
      <c r="E137" s="370">
        <v>55</v>
      </c>
      <c r="F137" s="371">
        <v>39</v>
      </c>
      <c r="G137" s="569"/>
    </row>
    <row r="138" spans="1:7">
      <c r="A138" s="7" t="s">
        <v>250</v>
      </c>
      <c r="B138" s="367"/>
      <c r="C138" s="369">
        <v>88</v>
      </c>
      <c r="D138" s="370">
        <v>74</v>
      </c>
      <c r="E138" s="370">
        <v>55</v>
      </c>
      <c r="F138" s="371">
        <v>39</v>
      </c>
      <c r="G138" s="569"/>
    </row>
    <row r="139" spans="1:7">
      <c r="A139" s="7" t="s">
        <v>251</v>
      </c>
      <c r="B139" s="367"/>
      <c r="C139" s="369">
        <v>88</v>
      </c>
      <c r="D139" s="370">
        <v>74</v>
      </c>
      <c r="E139" s="370">
        <v>55</v>
      </c>
      <c r="F139" s="371">
        <v>39</v>
      </c>
      <c r="G139" s="569"/>
    </row>
    <row r="140" spans="1:7">
      <c r="A140" s="7" t="s">
        <v>252</v>
      </c>
      <c r="B140" s="367"/>
      <c r="C140" s="369">
        <v>88</v>
      </c>
      <c r="D140" s="370">
        <v>74</v>
      </c>
      <c r="E140" s="370">
        <v>55</v>
      </c>
      <c r="F140" s="371">
        <v>39</v>
      </c>
      <c r="G140" s="569"/>
    </row>
    <row r="141" spans="1:7">
      <c r="A141" s="7" t="s">
        <v>253</v>
      </c>
      <c r="B141" s="367"/>
      <c r="C141" s="369">
        <v>88</v>
      </c>
      <c r="D141" s="370">
        <v>74</v>
      </c>
      <c r="E141" s="370">
        <v>55</v>
      </c>
      <c r="F141" s="371">
        <v>39</v>
      </c>
      <c r="G141" s="569"/>
    </row>
    <row r="142" spans="1:7">
      <c r="A142" s="7" t="s">
        <v>254</v>
      </c>
      <c r="B142" s="367"/>
      <c r="C142" s="369">
        <v>88</v>
      </c>
      <c r="D142" s="370">
        <v>74</v>
      </c>
      <c r="E142" s="370">
        <v>55</v>
      </c>
      <c r="F142" s="371">
        <v>39</v>
      </c>
      <c r="G142" s="569"/>
    </row>
    <row r="143" spans="1:7">
      <c r="A143" s="7" t="s">
        <v>255</v>
      </c>
      <c r="B143" s="367"/>
      <c r="C143" s="369">
        <v>88</v>
      </c>
      <c r="D143" s="370">
        <v>74</v>
      </c>
      <c r="E143" s="370">
        <v>55</v>
      </c>
      <c r="F143" s="371">
        <v>39</v>
      </c>
      <c r="G143" s="569"/>
    </row>
    <row r="144" spans="1:7">
      <c r="A144" s="7" t="s">
        <v>256</v>
      </c>
      <c r="B144" s="367"/>
      <c r="C144" s="369">
        <v>88</v>
      </c>
      <c r="D144" s="370">
        <v>74</v>
      </c>
      <c r="E144" s="370">
        <v>55</v>
      </c>
      <c r="F144" s="371">
        <v>39</v>
      </c>
      <c r="G144" s="569"/>
    </row>
    <row r="145" spans="1:7">
      <c r="A145" s="7" t="s">
        <v>257</v>
      </c>
      <c r="B145" s="367"/>
      <c r="C145" s="369">
        <v>88</v>
      </c>
      <c r="D145" s="370">
        <v>74</v>
      </c>
      <c r="E145" s="370">
        <v>55</v>
      </c>
      <c r="F145" s="371">
        <v>39</v>
      </c>
      <c r="G145" s="569"/>
    </row>
    <row r="146" spans="1:7">
      <c r="A146" s="7" t="s">
        <v>258</v>
      </c>
      <c r="B146" s="367"/>
      <c r="C146" s="369">
        <v>88</v>
      </c>
      <c r="D146" s="370">
        <v>74</v>
      </c>
      <c r="E146" s="370">
        <v>55</v>
      </c>
      <c r="F146" s="371">
        <v>39</v>
      </c>
      <c r="G146" s="569"/>
    </row>
    <row r="147" spans="1:7">
      <c r="A147" s="7" t="s">
        <v>259</v>
      </c>
      <c r="B147" s="367"/>
      <c r="C147" s="369">
        <v>88</v>
      </c>
      <c r="D147" s="370">
        <v>74</v>
      </c>
      <c r="E147" s="370">
        <v>55</v>
      </c>
      <c r="F147" s="371">
        <v>39</v>
      </c>
      <c r="G147" s="569"/>
    </row>
    <row r="148" spans="1:7">
      <c r="A148" s="7" t="s">
        <v>260</v>
      </c>
      <c r="B148" s="367"/>
      <c r="C148" s="369">
        <v>88</v>
      </c>
      <c r="D148" s="370">
        <v>74</v>
      </c>
      <c r="E148" s="370">
        <v>55</v>
      </c>
      <c r="F148" s="371">
        <v>39</v>
      </c>
      <c r="G148" s="569"/>
    </row>
    <row r="149" spans="1:7">
      <c r="A149" s="7" t="s">
        <v>261</v>
      </c>
      <c r="B149" s="367"/>
      <c r="C149" s="369">
        <v>88</v>
      </c>
      <c r="D149" s="370">
        <v>74</v>
      </c>
      <c r="E149" s="370">
        <v>55</v>
      </c>
      <c r="F149" s="371">
        <v>39</v>
      </c>
      <c r="G149" s="569"/>
    </row>
    <row r="150" spans="1:7">
      <c r="A150" s="7" t="s">
        <v>262</v>
      </c>
      <c r="B150" s="367"/>
      <c r="C150" s="369">
        <v>88</v>
      </c>
      <c r="D150" s="370">
        <v>74</v>
      </c>
      <c r="E150" s="370">
        <v>55</v>
      </c>
      <c r="F150" s="371">
        <v>39</v>
      </c>
      <c r="G150" s="569"/>
    </row>
    <row r="151" spans="1:7">
      <c r="A151" s="7" t="s">
        <v>263</v>
      </c>
      <c r="B151" s="367"/>
      <c r="C151" s="369">
        <v>88</v>
      </c>
      <c r="D151" s="370">
        <v>74</v>
      </c>
      <c r="E151" s="370">
        <v>55</v>
      </c>
      <c r="F151" s="371">
        <v>39</v>
      </c>
      <c r="G151" s="569"/>
    </row>
    <row r="152" spans="1:7">
      <c r="A152" s="7" t="s">
        <v>264</v>
      </c>
      <c r="B152" s="367"/>
      <c r="C152" s="369">
        <v>88</v>
      </c>
      <c r="D152" s="370">
        <v>74</v>
      </c>
      <c r="E152" s="370">
        <v>55</v>
      </c>
      <c r="F152" s="371">
        <v>39</v>
      </c>
      <c r="G152" s="569"/>
    </row>
    <row r="153" spans="1:7">
      <c r="A153" s="7" t="s">
        <v>265</v>
      </c>
      <c r="B153" s="367"/>
      <c r="C153" s="369">
        <v>88</v>
      </c>
      <c r="D153" s="370">
        <v>74</v>
      </c>
      <c r="E153" s="370">
        <v>55</v>
      </c>
      <c r="F153" s="371">
        <v>39</v>
      </c>
      <c r="G153" s="569"/>
    </row>
    <row r="154" spans="1:7">
      <c r="A154" s="7" t="s">
        <v>266</v>
      </c>
      <c r="B154" s="367"/>
      <c r="C154" s="369">
        <v>88</v>
      </c>
      <c r="D154" s="370">
        <v>74</v>
      </c>
      <c r="E154" s="370">
        <v>55</v>
      </c>
      <c r="F154" s="371">
        <v>39</v>
      </c>
      <c r="G154" s="569"/>
    </row>
    <row r="155" spans="1:7">
      <c r="A155" s="7" t="s">
        <v>267</v>
      </c>
      <c r="B155" s="367"/>
      <c r="C155" s="369">
        <v>88</v>
      </c>
      <c r="D155" s="370">
        <v>74</v>
      </c>
      <c r="E155" s="370">
        <v>55</v>
      </c>
      <c r="F155" s="371">
        <v>39</v>
      </c>
      <c r="G155" s="569"/>
    </row>
    <row r="156" spans="1:7">
      <c r="A156" s="7" t="s">
        <v>268</v>
      </c>
      <c r="B156" s="367"/>
      <c r="C156" s="369">
        <v>88</v>
      </c>
      <c r="D156" s="370">
        <v>74</v>
      </c>
      <c r="E156" s="370">
        <v>55</v>
      </c>
      <c r="F156" s="371">
        <v>39</v>
      </c>
      <c r="G156" s="569"/>
    </row>
    <row r="157" spans="1:7">
      <c r="A157" s="7" t="s">
        <v>269</v>
      </c>
      <c r="B157" s="367"/>
      <c r="C157" s="369">
        <v>88</v>
      </c>
      <c r="D157" s="370">
        <v>74</v>
      </c>
      <c r="E157" s="370">
        <v>55</v>
      </c>
      <c r="F157" s="371">
        <v>39</v>
      </c>
      <c r="G157" s="569"/>
    </row>
    <row r="158" spans="1:7">
      <c r="A158" s="7" t="s">
        <v>270</v>
      </c>
      <c r="B158" s="367"/>
      <c r="C158" s="369">
        <v>88</v>
      </c>
      <c r="D158" s="370">
        <v>74</v>
      </c>
      <c r="E158" s="370">
        <v>55</v>
      </c>
      <c r="F158" s="371">
        <v>39</v>
      </c>
      <c r="G158" s="569"/>
    </row>
    <row r="159" spans="1:7">
      <c r="A159" s="7" t="s">
        <v>271</v>
      </c>
      <c r="B159" s="367"/>
      <c r="C159" s="369">
        <v>88</v>
      </c>
      <c r="D159" s="370">
        <v>74</v>
      </c>
      <c r="E159" s="370">
        <v>55</v>
      </c>
      <c r="F159" s="371">
        <v>39</v>
      </c>
      <c r="G159" s="569"/>
    </row>
    <row r="160" spans="1:7">
      <c r="A160" s="7" t="s">
        <v>272</v>
      </c>
      <c r="B160" s="367"/>
      <c r="C160" s="369">
        <v>88</v>
      </c>
      <c r="D160" s="370">
        <v>74</v>
      </c>
      <c r="E160" s="370">
        <v>55</v>
      </c>
      <c r="F160" s="371">
        <v>39</v>
      </c>
      <c r="G160" s="569"/>
    </row>
    <row r="161" spans="1:7">
      <c r="A161" s="7" t="s">
        <v>273</v>
      </c>
      <c r="B161" s="367"/>
      <c r="C161" s="369">
        <v>88</v>
      </c>
      <c r="D161" s="370">
        <v>74</v>
      </c>
      <c r="E161" s="370">
        <v>55</v>
      </c>
      <c r="F161" s="371">
        <v>39</v>
      </c>
      <c r="G161" s="569"/>
    </row>
    <row r="162" spans="1:7">
      <c r="A162" s="7" t="s">
        <v>274</v>
      </c>
      <c r="B162" s="367"/>
      <c r="C162" s="369">
        <v>88</v>
      </c>
      <c r="D162" s="370">
        <v>74</v>
      </c>
      <c r="E162" s="370">
        <v>55</v>
      </c>
      <c r="F162" s="371">
        <v>39</v>
      </c>
      <c r="G162" s="569"/>
    </row>
    <row r="163" spans="1:7">
      <c r="A163" s="7" t="s">
        <v>275</v>
      </c>
      <c r="B163" s="367"/>
      <c r="C163" s="369">
        <v>88</v>
      </c>
      <c r="D163" s="370">
        <v>74</v>
      </c>
      <c r="E163" s="370">
        <v>55</v>
      </c>
      <c r="F163" s="371">
        <v>39</v>
      </c>
      <c r="G163" s="569"/>
    </row>
    <row r="164" spans="1:7">
      <c r="A164" s="7" t="s">
        <v>276</v>
      </c>
      <c r="B164" s="367"/>
      <c r="C164" s="369">
        <v>88</v>
      </c>
      <c r="D164" s="370">
        <v>74</v>
      </c>
      <c r="E164" s="370">
        <v>55</v>
      </c>
      <c r="F164" s="371">
        <v>39</v>
      </c>
      <c r="G164" s="569"/>
    </row>
    <row r="165" spans="1:7">
      <c r="A165" s="7" t="s">
        <v>277</v>
      </c>
      <c r="B165" s="367"/>
      <c r="C165" s="369">
        <v>88</v>
      </c>
      <c r="D165" s="370">
        <v>74</v>
      </c>
      <c r="E165" s="370">
        <v>55</v>
      </c>
      <c r="F165" s="371">
        <v>39</v>
      </c>
      <c r="G165" s="569"/>
    </row>
    <row r="166" spans="1:7">
      <c r="A166" s="7" t="s">
        <v>278</v>
      </c>
      <c r="B166" s="367"/>
      <c r="C166" s="369">
        <v>88</v>
      </c>
      <c r="D166" s="370">
        <v>74</v>
      </c>
      <c r="E166" s="370">
        <v>55</v>
      </c>
      <c r="F166" s="371">
        <v>39</v>
      </c>
      <c r="G166" s="569"/>
    </row>
    <row r="167" spans="1:7">
      <c r="A167" s="7" t="s">
        <v>279</v>
      </c>
      <c r="B167" s="367"/>
      <c r="C167" s="369">
        <v>88</v>
      </c>
      <c r="D167" s="370">
        <v>74</v>
      </c>
      <c r="E167" s="370">
        <v>55</v>
      </c>
      <c r="F167" s="371">
        <v>39</v>
      </c>
      <c r="G167" s="569"/>
    </row>
    <row r="168" spans="1:7">
      <c r="A168" s="7" t="s">
        <v>280</v>
      </c>
      <c r="B168" s="367"/>
      <c r="C168" s="369">
        <v>88</v>
      </c>
      <c r="D168" s="370">
        <v>74</v>
      </c>
      <c r="E168" s="370">
        <v>55</v>
      </c>
      <c r="F168" s="371">
        <v>39</v>
      </c>
      <c r="G168" s="569"/>
    </row>
    <row r="169" spans="1:7">
      <c r="A169" s="7" t="s">
        <v>281</v>
      </c>
      <c r="B169" s="367"/>
      <c r="C169" s="369">
        <v>88</v>
      </c>
      <c r="D169" s="370">
        <v>74</v>
      </c>
      <c r="E169" s="370">
        <v>55</v>
      </c>
      <c r="F169" s="371">
        <v>39</v>
      </c>
      <c r="G169" s="569"/>
    </row>
    <row r="170" spans="1:7">
      <c r="A170" s="7" t="s">
        <v>282</v>
      </c>
      <c r="B170" s="367"/>
      <c r="C170" s="369">
        <v>88</v>
      </c>
      <c r="D170" s="370">
        <v>74</v>
      </c>
      <c r="E170" s="370">
        <v>55</v>
      </c>
      <c r="F170" s="371">
        <v>39</v>
      </c>
      <c r="G170" s="569"/>
    </row>
    <row r="171" spans="1:7">
      <c r="A171" s="7" t="s">
        <v>283</v>
      </c>
      <c r="B171" s="367"/>
      <c r="C171" s="369">
        <v>88</v>
      </c>
      <c r="D171" s="370">
        <v>74</v>
      </c>
      <c r="E171" s="370">
        <v>55</v>
      </c>
      <c r="F171" s="371">
        <v>39</v>
      </c>
      <c r="G171" s="569"/>
    </row>
    <row r="172" spans="1:7">
      <c r="A172" s="7" t="s">
        <v>284</v>
      </c>
      <c r="B172" s="367"/>
      <c r="C172" s="369">
        <v>88</v>
      </c>
      <c r="D172" s="370">
        <v>74</v>
      </c>
      <c r="E172" s="370">
        <v>55</v>
      </c>
      <c r="F172" s="371">
        <v>39</v>
      </c>
      <c r="G172" s="569"/>
    </row>
    <row r="173" spans="1:7">
      <c r="A173" s="7" t="s">
        <v>285</v>
      </c>
      <c r="B173" s="367"/>
      <c r="C173" s="369">
        <v>88</v>
      </c>
      <c r="D173" s="370">
        <v>74</v>
      </c>
      <c r="E173" s="370">
        <v>55</v>
      </c>
      <c r="F173" s="371">
        <v>39</v>
      </c>
      <c r="G173" s="569"/>
    </row>
    <row r="174" spans="1:7">
      <c r="A174" s="7" t="s">
        <v>286</v>
      </c>
      <c r="B174" s="367"/>
      <c r="C174" s="369">
        <v>88</v>
      </c>
      <c r="D174" s="370">
        <v>74</v>
      </c>
      <c r="E174" s="370">
        <v>55</v>
      </c>
      <c r="F174" s="371">
        <v>39</v>
      </c>
      <c r="G174" s="569"/>
    </row>
    <row r="175" spans="1:7">
      <c r="A175" s="7" t="s">
        <v>287</v>
      </c>
      <c r="B175" s="367"/>
      <c r="C175" s="369">
        <v>88</v>
      </c>
      <c r="D175" s="370">
        <v>74</v>
      </c>
      <c r="E175" s="370">
        <v>55</v>
      </c>
      <c r="F175" s="371">
        <v>39</v>
      </c>
      <c r="G175" s="569"/>
    </row>
    <row r="176" spans="1:7">
      <c r="A176" s="7" t="s">
        <v>288</v>
      </c>
      <c r="B176" s="367"/>
      <c r="C176" s="369">
        <v>88</v>
      </c>
      <c r="D176" s="370">
        <v>74</v>
      </c>
      <c r="E176" s="370">
        <v>55</v>
      </c>
      <c r="F176" s="371">
        <v>39</v>
      </c>
      <c r="G176" s="569"/>
    </row>
    <row r="177" spans="1:7">
      <c r="A177" s="7" t="s">
        <v>289</v>
      </c>
      <c r="B177" s="367"/>
      <c r="C177" s="369">
        <v>88</v>
      </c>
      <c r="D177" s="370">
        <v>74</v>
      </c>
      <c r="E177" s="370">
        <v>55</v>
      </c>
      <c r="F177" s="371">
        <v>39</v>
      </c>
      <c r="G177" s="569"/>
    </row>
    <row r="178" spans="1:7">
      <c r="A178" s="7" t="s">
        <v>290</v>
      </c>
      <c r="B178" s="367"/>
      <c r="C178" s="369">
        <v>88</v>
      </c>
      <c r="D178" s="370">
        <v>74</v>
      </c>
      <c r="E178" s="370">
        <v>55</v>
      </c>
      <c r="F178" s="371">
        <v>39</v>
      </c>
      <c r="G178" s="569"/>
    </row>
    <row r="179" spans="1:7">
      <c r="A179" s="7" t="s">
        <v>291</v>
      </c>
      <c r="B179" s="367"/>
      <c r="C179" s="369">
        <v>88</v>
      </c>
      <c r="D179" s="370">
        <v>74</v>
      </c>
      <c r="E179" s="370">
        <v>55</v>
      </c>
      <c r="F179" s="371">
        <v>39</v>
      </c>
      <c r="G179" s="569"/>
    </row>
    <row r="180" spans="1:7">
      <c r="A180" s="7" t="s">
        <v>292</v>
      </c>
      <c r="B180" s="367"/>
      <c r="C180" s="369">
        <v>88</v>
      </c>
      <c r="D180" s="370">
        <v>74</v>
      </c>
      <c r="E180" s="370">
        <v>55</v>
      </c>
      <c r="F180" s="371">
        <v>39</v>
      </c>
      <c r="G180" s="569"/>
    </row>
    <row r="181" spans="1:7">
      <c r="A181" s="7" t="s">
        <v>293</v>
      </c>
      <c r="B181" s="367"/>
      <c r="C181" s="369">
        <v>88</v>
      </c>
      <c r="D181" s="370">
        <v>74</v>
      </c>
      <c r="E181" s="370">
        <v>55</v>
      </c>
      <c r="F181" s="371">
        <v>39</v>
      </c>
      <c r="G181" s="569"/>
    </row>
    <row r="182" spans="1:7">
      <c r="A182" s="7" t="s">
        <v>294</v>
      </c>
      <c r="B182" s="367"/>
      <c r="C182" s="369">
        <v>88</v>
      </c>
      <c r="D182" s="370">
        <v>74</v>
      </c>
      <c r="E182" s="370">
        <v>55</v>
      </c>
      <c r="F182" s="371">
        <v>39</v>
      </c>
      <c r="G182" s="569"/>
    </row>
    <row r="183" spans="1:7">
      <c r="A183" s="7" t="s">
        <v>295</v>
      </c>
      <c r="B183" s="367"/>
      <c r="C183" s="369">
        <v>88</v>
      </c>
      <c r="D183" s="370">
        <v>74</v>
      </c>
      <c r="E183" s="370">
        <v>55</v>
      </c>
      <c r="F183" s="371">
        <v>39</v>
      </c>
      <c r="G183" s="569"/>
    </row>
    <row r="184" spans="1:7">
      <c r="A184" s="7" t="s">
        <v>296</v>
      </c>
      <c r="B184" s="367"/>
      <c r="C184" s="369">
        <v>88</v>
      </c>
      <c r="D184" s="370">
        <v>74</v>
      </c>
      <c r="E184" s="370">
        <v>55</v>
      </c>
      <c r="F184" s="371">
        <v>39</v>
      </c>
      <c r="G184" s="569"/>
    </row>
    <row r="185" spans="1:7">
      <c r="A185" s="7" t="s">
        <v>297</v>
      </c>
      <c r="B185" s="367"/>
      <c r="C185" s="369">
        <v>88</v>
      </c>
      <c r="D185" s="370">
        <v>74</v>
      </c>
      <c r="E185" s="370">
        <v>55</v>
      </c>
      <c r="F185" s="371">
        <v>39</v>
      </c>
      <c r="G185" s="569"/>
    </row>
    <row r="186" spans="1:7">
      <c r="A186" s="7" t="s">
        <v>298</v>
      </c>
      <c r="B186" s="367"/>
      <c r="C186" s="369">
        <v>88</v>
      </c>
      <c r="D186" s="370">
        <v>74</v>
      </c>
      <c r="E186" s="370">
        <v>55</v>
      </c>
      <c r="F186" s="371">
        <v>39</v>
      </c>
      <c r="G186" s="569"/>
    </row>
    <row r="187" spans="1:7">
      <c r="A187" s="7" t="s">
        <v>299</v>
      </c>
      <c r="B187" s="367"/>
      <c r="C187" s="369">
        <v>88</v>
      </c>
      <c r="D187" s="370">
        <v>74</v>
      </c>
      <c r="E187" s="370">
        <v>55</v>
      </c>
      <c r="F187" s="371">
        <v>39</v>
      </c>
      <c r="G187" s="569"/>
    </row>
    <row r="188" spans="1:7">
      <c r="A188" s="7" t="s">
        <v>300</v>
      </c>
      <c r="B188" s="367"/>
      <c r="C188" s="369">
        <v>88</v>
      </c>
      <c r="D188" s="370">
        <v>74</v>
      </c>
      <c r="E188" s="370">
        <v>55</v>
      </c>
      <c r="F188" s="371">
        <v>39</v>
      </c>
      <c r="G188" s="569"/>
    </row>
    <row r="189" spans="1:7">
      <c r="A189" s="7" t="s">
        <v>301</v>
      </c>
      <c r="B189" s="367"/>
      <c r="C189" s="369">
        <v>88</v>
      </c>
      <c r="D189" s="370">
        <v>74</v>
      </c>
      <c r="E189" s="370">
        <v>55</v>
      </c>
      <c r="F189" s="371">
        <v>39</v>
      </c>
      <c r="G189" s="569"/>
    </row>
    <row r="190" spans="1:7">
      <c r="A190" s="7" t="s">
        <v>302</v>
      </c>
      <c r="B190" s="367"/>
      <c r="C190" s="369">
        <v>88</v>
      </c>
      <c r="D190" s="370">
        <v>74</v>
      </c>
      <c r="E190" s="370">
        <v>55</v>
      </c>
      <c r="F190" s="371">
        <v>39</v>
      </c>
      <c r="G190" s="569"/>
    </row>
    <row r="191" spans="1:7">
      <c r="A191" s="7" t="s">
        <v>303</v>
      </c>
      <c r="B191" s="367"/>
      <c r="C191" s="369">
        <v>88</v>
      </c>
      <c r="D191" s="370">
        <v>74</v>
      </c>
      <c r="E191" s="370">
        <v>55</v>
      </c>
      <c r="F191" s="371">
        <v>39</v>
      </c>
      <c r="G191" s="569"/>
    </row>
    <row r="192" spans="1:7">
      <c r="A192" s="7" t="s">
        <v>304</v>
      </c>
      <c r="B192" s="367"/>
      <c r="C192" s="369">
        <v>88</v>
      </c>
      <c r="D192" s="370">
        <v>74</v>
      </c>
      <c r="E192" s="370">
        <v>55</v>
      </c>
      <c r="F192" s="371">
        <v>39</v>
      </c>
      <c r="G192" s="569"/>
    </row>
    <row r="193" spans="1:7">
      <c r="A193" s="7" t="s">
        <v>305</v>
      </c>
      <c r="B193" s="367"/>
      <c r="C193" s="369">
        <v>88</v>
      </c>
      <c r="D193" s="370">
        <v>74</v>
      </c>
      <c r="E193" s="370">
        <v>55</v>
      </c>
      <c r="F193" s="371">
        <v>39</v>
      </c>
      <c r="G193" s="569"/>
    </row>
    <row r="194" spans="1:7">
      <c r="A194" s="7" t="s">
        <v>306</v>
      </c>
      <c r="B194" s="367"/>
      <c r="C194" s="369">
        <v>88</v>
      </c>
      <c r="D194" s="370">
        <v>74</v>
      </c>
      <c r="E194" s="370">
        <v>55</v>
      </c>
      <c r="F194" s="371">
        <v>39</v>
      </c>
      <c r="G194" s="569"/>
    </row>
    <row r="195" spans="1:7">
      <c r="A195" s="7" t="s">
        <v>307</v>
      </c>
      <c r="B195" s="367"/>
      <c r="C195" s="369">
        <v>88</v>
      </c>
      <c r="D195" s="370">
        <v>74</v>
      </c>
      <c r="E195" s="370">
        <v>55</v>
      </c>
      <c r="F195" s="371">
        <v>39</v>
      </c>
      <c r="G195" s="569"/>
    </row>
    <row r="196" spans="1:7">
      <c r="A196" s="7" t="s">
        <v>308</v>
      </c>
      <c r="B196" s="367"/>
      <c r="C196" s="369">
        <v>88</v>
      </c>
      <c r="D196" s="370">
        <v>74</v>
      </c>
      <c r="E196" s="370">
        <v>55</v>
      </c>
      <c r="F196" s="371">
        <v>39</v>
      </c>
      <c r="G196" s="569"/>
    </row>
    <row r="197" spans="1:7">
      <c r="A197" s="7" t="s">
        <v>309</v>
      </c>
      <c r="B197" s="367"/>
      <c r="C197" s="369">
        <v>88</v>
      </c>
      <c r="D197" s="370">
        <v>74</v>
      </c>
      <c r="E197" s="370">
        <v>55</v>
      </c>
      <c r="F197" s="371">
        <v>39</v>
      </c>
      <c r="G197" s="569"/>
    </row>
    <row r="198" spans="1:7">
      <c r="A198" s="7" t="s">
        <v>310</v>
      </c>
      <c r="B198" s="367"/>
      <c r="C198" s="369">
        <v>88</v>
      </c>
      <c r="D198" s="370">
        <v>74</v>
      </c>
      <c r="E198" s="370">
        <v>55</v>
      </c>
      <c r="F198" s="371">
        <v>39</v>
      </c>
      <c r="G198" s="569"/>
    </row>
    <row r="199" spans="1:7">
      <c r="A199" s="7" t="s">
        <v>311</v>
      </c>
      <c r="B199" s="367"/>
      <c r="C199" s="369">
        <v>88</v>
      </c>
      <c r="D199" s="370">
        <v>74</v>
      </c>
      <c r="E199" s="370">
        <v>55</v>
      </c>
      <c r="F199" s="371">
        <v>39</v>
      </c>
      <c r="G199" s="569"/>
    </row>
    <row r="200" spans="1:7">
      <c r="A200" s="7" t="s">
        <v>312</v>
      </c>
      <c r="B200" s="367"/>
      <c r="C200" s="369">
        <v>88</v>
      </c>
      <c r="D200" s="370">
        <v>74</v>
      </c>
      <c r="E200" s="370">
        <v>55</v>
      </c>
      <c r="F200" s="371">
        <v>39</v>
      </c>
      <c r="G200" s="569"/>
    </row>
    <row r="201" spans="1:7">
      <c r="A201" s="7" t="s">
        <v>313</v>
      </c>
      <c r="B201" s="367"/>
      <c r="C201" s="369">
        <v>88</v>
      </c>
      <c r="D201" s="370">
        <v>74</v>
      </c>
      <c r="E201" s="370">
        <v>55</v>
      </c>
      <c r="F201" s="371">
        <v>39</v>
      </c>
      <c r="G201" s="569"/>
    </row>
    <row r="202" spans="1:7">
      <c r="A202" s="7" t="s">
        <v>314</v>
      </c>
      <c r="B202" s="367"/>
      <c r="C202" s="369">
        <v>88</v>
      </c>
      <c r="D202" s="370">
        <v>74</v>
      </c>
      <c r="E202" s="370">
        <v>55</v>
      </c>
      <c r="F202" s="371">
        <v>39</v>
      </c>
      <c r="G202" s="569"/>
    </row>
    <row r="203" spans="1:7">
      <c r="A203" s="7" t="s">
        <v>315</v>
      </c>
      <c r="B203" s="367"/>
      <c r="C203" s="369">
        <v>88</v>
      </c>
      <c r="D203" s="370">
        <v>74</v>
      </c>
      <c r="E203" s="370">
        <v>55</v>
      </c>
      <c r="F203" s="371">
        <v>39</v>
      </c>
      <c r="G203" s="569"/>
    </row>
    <row r="204" spans="1:7">
      <c r="A204" s="7" t="s">
        <v>316</v>
      </c>
      <c r="B204" s="367"/>
      <c r="C204" s="369">
        <v>88</v>
      </c>
      <c r="D204" s="370">
        <v>74</v>
      </c>
      <c r="E204" s="370">
        <v>55</v>
      </c>
      <c r="F204" s="371">
        <v>39</v>
      </c>
      <c r="G204" s="569"/>
    </row>
    <row r="205" spans="1:7">
      <c r="A205" s="7" t="s">
        <v>317</v>
      </c>
      <c r="B205" s="367"/>
      <c r="C205" s="369">
        <v>88</v>
      </c>
      <c r="D205" s="370">
        <v>74</v>
      </c>
      <c r="E205" s="370">
        <v>55</v>
      </c>
      <c r="F205" s="371">
        <v>39</v>
      </c>
      <c r="G205" s="569"/>
    </row>
    <row r="206" spans="1:7" ht="16.5" thickBot="1">
      <c r="A206" s="8" t="s">
        <v>318</v>
      </c>
      <c r="B206" s="374"/>
      <c r="C206" s="375">
        <v>88</v>
      </c>
      <c r="D206" s="376">
        <v>74</v>
      </c>
      <c r="E206" s="376">
        <v>55</v>
      </c>
      <c r="F206" s="377">
        <v>39</v>
      </c>
      <c r="G206" s="570"/>
    </row>
  </sheetData>
  <sheetProtection selectLockedCells="1" selectUnlockedCells="1"/>
  <mergeCells count="14">
    <mergeCell ref="X2:Y2"/>
    <mergeCell ref="M1:S1"/>
    <mergeCell ref="G41:G206"/>
    <mergeCell ref="C2:F2"/>
    <mergeCell ref="U1:V1"/>
    <mergeCell ref="R2:S2"/>
    <mergeCell ref="U2:V2"/>
    <mergeCell ref="R5:S5"/>
    <mergeCell ref="A2:B2"/>
    <mergeCell ref="N2:P2"/>
    <mergeCell ref="J7:K7"/>
    <mergeCell ref="A1:G1"/>
    <mergeCell ref="J2:K2"/>
    <mergeCell ref="G4:G40"/>
  </mergeCells>
  <phoneticPr fontId="7" type="noConversion"/>
  <pageMargins left="0.75" right="0.75" top="1" bottom="1" header="0.5" footer="0.5"/>
  <pageSetup paperSize="9" scale="58" orientation="portrait" horizontalDpi="4294967292" verticalDpi="4294967292"/>
  <headerFooter>
    <oddHeader>&amp;C2014. E+ 204&amp;R&amp;"Times New Roman,Regular"Version 2014.04.02. - TKA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enableFormatConditionsCalculation="0">
    <tabColor indexed="48"/>
  </sheetPr>
  <dimension ref="A1:E13"/>
  <sheetViews>
    <sheetView zoomScaleNormal="100" zoomScaleSheetLayoutView="120" workbookViewId="0">
      <selection activeCell="C3" sqref="C3:E3"/>
    </sheetView>
  </sheetViews>
  <sheetFormatPr defaultColWidth="9.42578125" defaultRowHeight="12.75"/>
  <cols>
    <col min="1" max="1" width="8.28515625" style="319" customWidth="1"/>
    <col min="2" max="2" width="20.140625" style="319" bestFit="1" customWidth="1"/>
    <col min="3" max="3" width="10.140625" style="319" bestFit="1" customWidth="1"/>
    <col min="4" max="4" width="7.5703125" style="319" bestFit="1" customWidth="1"/>
    <col min="5" max="5" width="78.5703125" style="318" customWidth="1"/>
    <col min="6" max="16384" width="9.42578125" style="318"/>
  </cols>
  <sheetData>
    <row r="1" spans="1:5" ht="13.5" customHeight="1">
      <c r="A1" s="189" t="s">
        <v>50</v>
      </c>
      <c r="B1" s="189"/>
      <c r="C1" s="189"/>
      <c r="D1" s="317"/>
    </row>
    <row r="2" spans="1:5" ht="13.5" thickBot="1">
      <c r="A2" s="190"/>
      <c r="B2" s="317"/>
      <c r="C2" s="317"/>
      <c r="D2" s="317"/>
    </row>
    <row r="3" spans="1:5" ht="13.5" thickBot="1">
      <c r="A3" s="20"/>
      <c r="B3" s="321" t="s">
        <v>438</v>
      </c>
      <c r="C3" s="463"/>
      <c r="D3" s="464"/>
      <c r="E3" s="465"/>
    </row>
    <row r="4" spans="1:5" ht="13.5" thickBot="1">
      <c r="A4" s="20"/>
      <c r="B4" s="22"/>
      <c r="C4" s="22"/>
      <c r="D4" s="22"/>
    </row>
    <row r="5" spans="1:5" ht="13.5" thickBot="1">
      <c r="B5" s="314" t="s">
        <v>140</v>
      </c>
      <c r="C5" s="323">
        <f>'Total grant requested'!I6</f>
        <v>0</v>
      </c>
      <c r="D5" s="320" t="str">
        <f>'Total grant requested'!J6</f>
        <v/>
      </c>
    </row>
    <row r="6" spans="1:5" ht="13.5" thickBot="1"/>
    <row r="7" spans="1:5" ht="13.5" thickBot="1">
      <c r="B7" s="315" t="s">
        <v>51</v>
      </c>
      <c r="C7" s="316"/>
      <c r="D7" s="322" t="s">
        <v>436</v>
      </c>
    </row>
    <row r="8" spans="1:5" ht="13.5" thickBot="1"/>
    <row r="9" spans="1:5" ht="13.5" thickBot="1">
      <c r="B9" s="314" t="s">
        <v>439</v>
      </c>
      <c r="C9" s="329"/>
      <c r="D9" s="328" t="str">
        <f>IF(OR(ISBLANK(Start),AND(Start&gt;=DATE(2016,9,1),Start&lt;DATE(2017,1,1))),"","It must be between 1 September 2016 and 31 December 2016!")</f>
        <v/>
      </c>
    </row>
    <row r="10" spans="1:5" ht="13.5" thickBot="1"/>
    <row r="11" spans="1:5" ht="13.5" thickBot="1">
      <c r="B11" s="324" t="s">
        <v>440</v>
      </c>
      <c r="C11" s="327" t="str">
        <f>IF(ISBLANK(Start),"",DATE(YEAR(Start),MONTH(Start)+$C$7,DAY(Start))-1)</f>
        <v/>
      </c>
      <c r="D11" s="326" t="str">
        <f>IF(OR(ISBLANK(Start),C11&lt;=DATE(2019,8,31)),"","It is not possible after 31 August 2019!")</f>
        <v/>
      </c>
    </row>
    <row r="12" spans="1:5" ht="13.5" thickBot="1"/>
    <row r="13" spans="1:5" ht="13.5" thickBot="1">
      <c r="B13" s="314" t="s">
        <v>162</v>
      </c>
      <c r="C13" s="325" t="str">
        <f>IF(ISBLANK(C7),"",VLOOKUP(C7,Limit,2,0))</f>
        <v/>
      </c>
    </row>
  </sheetData>
  <sheetProtection password="CF02" sheet="1" objects="1" scenarios="1"/>
  <mergeCells count="1">
    <mergeCell ref="C3:E3"/>
  </mergeCells>
  <phoneticPr fontId="7" type="noConversion"/>
  <conditionalFormatting sqref="C5">
    <cfRule type="expression" dxfId="23" priority="1" stopIfTrue="1">
      <formula>D5&lt;&gt;""</formula>
    </cfRule>
    <cfRule type="cellIs" dxfId="22" priority="12" stopIfTrue="1" operator="equal">
      <formula>"ERROR"</formula>
    </cfRule>
  </conditionalFormatting>
  <conditionalFormatting sqref="C9">
    <cfRule type="expression" dxfId="21" priority="4" stopIfTrue="1">
      <formula>D9&lt;&gt;""</formula>
    </cfRule>
  </conditionalFormatting>
  <conditionalFormatting sqref="C11">
    <cfRule type="expression" dxfId="20" priority="2" stopIfTrue="1">
      <formula>D11&lt;&gt;""</formula>
    </cfRule>
  </conditionalFormatting>
  <dataValidations disablePrompts="1" count="1">
    <dataValidation type="list" showInputMessage="1" showErrorMessage="1" sqref="C7">
      <formula1>Duration</formula1>
    </dataValidation>
  </dataValidations>
  <printOptions horizontalCentered="1"/>
  <pageMargins left="0.35433070866141736" right="0.35433070866141736" top="1.3385826771653544" bottom="0.98425196850393704" header="0.51181102362204722" footer="0.51181102362204722"/>
  <pageSetup paperSize="9" orientation="landscape" r:id="rId1"/>
  <headerFooter scaleWithDoc="0">
    <oddHeader>&amp;C&amp;11 2016. E+ KA204&amp;RVersion: 2016.01.17. - TKA</oddHeader>
    <oddFooter>&amp;C&amp;"Arial,Félkövér"&amp;A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M46"/>
  <sheetViews>
    <sheetView showGridLines="0" topLeftCell="B1" zoomScaleNormal="100" workbookViewId="0">
      <selection activeCell="C1" sqref="C1:AM1"/>
    </sheetView>
  </sheetViews>
  <sheetFormatPr defaultColWidth="8.85546875" defaultRowHeight="15"/>
  <cols>
    <col min="1" max="1" width="2.85546875" style="148" customWidth="1"/>
    <col min="2" max="2" width="19.42578125" style="148" customWidth="1"/>
    <col min="3" max="3" width="9.28515625" style="148" customWidth="1"/>
    <col min="4" max="4" width="3.85546875" style="148" customWidth="1"/>
    <col min="5" max="12" width="3.85546875" style="148" bestFit="1" customWidth="1"/>
    <col min="13" max="39" width="4.85546875" style="148" bestFit="1" customWidth="1"/>
    <col min="40" max="16384" width="8.85546875" style="148"/>
  </cols>
  <sheetData>
    <row r="1" spans="2:39" ht="15.75" thickBot="1">
      <c r="B1" s="147" t="s">
        <v>357</v>
      </c>
      <c r="C1" s="478" t="s">
        <v>358</v>
      </c>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80"/>
    </row>
    <row r="2" spans="2:39" ht="15.75" thickBot="1">
      <c r="B2" s="147"/>
    </row>
    <row r="3" spans="2:39" ht="15.75" thickBot="1">
      <c r="B3" s="466" t="s">
        <v>359</v>
      </c>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8"/>
    </row>
    <row r="5" spans="2:39">
      <c r="B5" s="149"/>
      <c r="C5" s="150" t="s">
        <v>484</v>
      </c>
      <c r="D5" s="150" t="s">
        <v>360</v>
      </c>
      <c r="E5" s="150" t="s">
        <v>361</v>
      </c>
      <c r="F5" s="150" t="s">
        <v>362</v>
      </c>
      <c r="G5" s="150" t="s">
        <v>363</v>
      </c>
      <c r="H5" s="150" t="s">
        <v>364</v>
      </c>
      <c r="I5" s="150" t="s">
        <v>365</v>
      </c>
      <c r="J5" s="150" t="s">
        <v>366</v>
      </c>
      <c r="K5" s="150" t="s">
        <v>367</v>
      </c>
      <c r="L5" s="150" t="s">
        <v>368</v>
      </c>
      <c r="M5" s="150" t="s">
        <v>369</v>
      </c>
      <c r="N5" s="150" t="s">
        <v>370</v>
      </c>
      <c r="O5" s="150" t="s">
        <v>371</v>
      </c>
      <c r="P5" s="150" t="s">
        <v>372</v>
      </c>
      <c r="Q5" s="150" t="s">
        <v>373</v>
      </c>
      <c r="R5" s="150" t="s">
        <v>374</v>
      </c>
      <c r="S5" s="150" t="s">
        <v>375</v>
      </c>
      <c r="T5" s="150" t="s">
        <v>376</v>
      </c>
      <c r="U5" s="150" t="s">
        <v>377</v>
      </c>
      <c r="V5" s="150" t="s">
        <v>378</v>
      </c>
      <c r="W5" s="150" t="s">
        <v>379</v>
      </c>
      <c r="X5" s="150" t="s">
        <v>380</v>
      </c>
      <c r="Y5" s="150" t="s">
        <v>381</v>
      </c>
      <c r="Z5" s="150" t="s">
        <v>382</v>
      </c>
      <c r="AA5" s="150" t="s">
        <v>383</v>
      </c>
      <c r="AB5" s="150" t="s">
        <v>384</v>
      </c>
      <c r="AC5" s="150" t="s">
        <v>385</v>
      </c>
      <c r="AD5" s="150" t="s">
        <v>386</v>
      </c>
      <c r="AE5" s="150" t="s">
        <v>387</v>
      </c>
      <c r="AF5" s="150" t="s">
        <v>388</v>
      </c>
      <c r="AG5" s="150" t="s">
        <v>389</v>
      </c>
      <c r="AH5" s="150" t="s">
        <v>390</v>
      </c>
      <c r="AI5" s="150" t="s">
        <v>391</v>
      </c>
      <c r="AJ5" s="150" t="s">
        <v>392</v>
      </c>
      <c r="AK5" s="150" t="s">
        <v>393</v>
      </c>
      <c r="AL5" s="150" t="s">
        <v>394</v>
      </c>
      <c r="AM5" s="150" t="s">
        <v>395</v>
      </c>
    </row>
    <row r="6" spans="2:39">
      <c r="B6" s="151" t="s">
        <v>396</v>
      </c>
      <c r="C6" s="152"/>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4"/>
    </row>
    <row r="7" spans="2:39">
      <c r="B7" s="310"/>
      <c r="C7" s="313"/>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2"/>
      <c r="AD7" s="312"/>
      <c r="AE7" s="312"/>
      <c r="AF7" s="312"/>
      <c r="AG7" s="312"/>
      <c r="AH7" s="312"/>
      <c r="AI7" s="312"/>
      <c r="AJ7" s="312"/>
      <c r="AK7" s="312"/>
      <c r="AL7" s="312"/>
      <c r="AM7" s="312"/>
    </row>
    <row r="8" spans="2:39">
      <c r="B8" s="310"/>
      <c r="C8" s="313"/>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2"/>
      <c r="AD8" s="312"/>
      <c r="AE8" s="312"/>
      <c r="AF8" s="312"/>
      <c r="AG8" s="312"/>
      <c r="AH8" s="312"/>
      <c r="AI8" s="312"/>
      <c r="AJ8" s="312"/>
      <c r="AK8" s="312"/>
      <c r="AL8" s="312"/>
      <c r="AM8" s="312"/>
    </row>
    <row r="9" spans="2:39">
      <c r="B9" s="310"/>
      <c r="C9" s="313"/>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2"/>
      <c r="AD9" s="312"/>
      <c r="AE9" s="312"/>
      <c r="AF9" s="312"/>
      <c r="AG9" s="312"/>
      <c r="AH9" s="312"/>
      <c r="AI9" s="312"/>
      <c r="AJ9" s="312"/>
      <c r="AK9" s="312"/>
      <c r="AL9" s="312"/>
      <c r="AM9" s="312"/>
    </row>
    <row r="10" spans="2:39">
      <c r="B10" s="310"/>
      <c r="C10" s="313"/>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2"/>
      <c r="AD10" s="312"/>
      <c r="AE10" s="312"/>
      <c r="AF10" s="312"/>
      <c r="AG10" s="312"/>
      <c r="AH10" s="312"/>
      <c r="AI10" s="312"/>
      <c r="AJ10" s="312"/>
      <c r="AK10" s="312"/>
      <c r="AL10" s="312"/>
      <c r="AM10" s="312"/>
    </row>
    <row r="11" spans="2:39">
      <c r="B11" s="310"/>
      <c r="C11" s="313"/>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2"/>
      <c r="AD11" s="312"/>
      <c r="AE11" s="312"/>
      <c r="AF11" s="312"/>
      <c r="AG11" s="312"/>
      <c r="AH11" s="312"/>
      <c r="AI11" s="312"/>
      <c r="AJ11" s="312"/>
      <c r="AK11" s="312"/>
      <c r="AL11" s="312"/>
      <c r="AM11" s="312"/>
    </row>
    <row r="12" spans="2:39">
      <c r="B12" s="310"/>
      <c r="C12" s="313"/>
      <c r="D12" s="311"/>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2"/>
      <c r="AD12" s="312"/>
      <c r="AE12" s="312"/>
      <c r="AF12" s="312"/>
      <c r="AG12" s="312"/>
      <c r="AH12" s="312"/>
      <c r="AI12" s="312"/>
      <c r="AJ12" s="312"/>
      <c r="AK12" s="312"/>
      <c r="AL12" s="312"/>
      <c r="AM12" s="312"/>
    </row>
    <row r="13" spans="2:39">
      <c r="B13" s="310"/>
      <c r="C13" s="313"/>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2"/>
      <c r="AD13" s="312"/>
      <c r="AE13" s="312"/>
      <c r="AF13" s="312"/>
      <c r="AG13" s="312"/>
      <c r="AH13" s="312"/>
      <c r="AI13" s="312"/>
      <c r="AJ13" s="312"/>
      <c r="AK13" s="312"/>
      <c r="AL13" s="312"/>
      <c r="AM13" s="312"/>
    </row>
    <row r="14" spans="2:39">
      <c r="B14" s="310"/>
      <c r="C14" s="313"/>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2"/>
      <c r="AD14" s="312"/>
      <c r="AE14" s="312"/>
      <c r="AF14" s="312"/>
      <c r="AG14" s="312"/>
      <c r="AH14" s="312"/>
      <c r="AI14" s="312"/>
      <c r="AJ14" s="312"/>
      <c r="AK14" s="312"/>
      <c r="AL14" s="312"/>
      <c r="AM14" s="312"/>
    </row>
    <row r="15" spans="2:39">
      <c r="B15" s="310"/>
      <c r="C15" s="313"/>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2"/>
      <c r="AD15" s="312"/>
      <c r="AE15" s="312"/>
      <c r="AF15" s="312"/>
      <c r="AG15" s="312"/>
      <c r="AH15" s="312"/>
      <c r="AI15" s="312"/>
      <c r="AJ15" s="312"/>
      <c r="AK15" s="312"/>
      <c r="AL15" s="312"/>
      <c r="AM15" s="312"/>
    </row>
    <row r="16" spans="2:39">
      <c r="B16" s="310"/>
      <c r="C16" s="313"/>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2"/>
      <c r="AD16" s="312"/>
      <c r="AE16" s="312"/>
      <c r="AF16" s="312"/>
      <c r="AG16" s="312"/>
      <c r="AH16" s="312"/>
      <c r="AI16" s="312"/>
      <c r="AJ16" s="312"/>
      <c r="AK16" s="312"/>
      <c r="AL16" s="312"/>
      <c r="AM16" s="312"/>
    </row>
    <row r="17" spans="2:39">
      <c r="B17" s="310"/>
      <c r="C17" s="313"/>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2"/>
      <c r="AD17" s="312"/>
      <c r="AE17" s="312"/>
      <c r="AF17" s="312"/>
      <c r="AG17" s="312"/>
      <c r="AH17" s="312"/>
      <c r="AI17" s="312"/>
      <c r="AJ17" s="312"/>
      <c r="AK17" s="312"/>
      <c r="AL17" s="312"/>
      <c r="AM17" s="312"/>
    </row>
    <row r="18" spans="2:39">
      <c r="B18" s="310"/>
      <c r="C18" s="313"/>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2"/>
      <c r="AD18" s="312"/>
      <c r="AE18" s="312"/>
      <c r="AF18" s="312"/>
      <c r="AG18" s="312"/>
      <c r="AH18" s="312"/>
      <c r="AI18" s="312"/>
      <c r="AJ18" s="312"/>
      <c r="AK18" s="312"/>
      <c r="AL18" s="312"/>
      <c r="AM18" s="312"/>
    </row>
    <row r="19" spans="2:39">
      <c r="B19" s="310"/>
      <c r="C19" s="313"/>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2"/>
      <c r="AD19" s="312"/>
      <c r="AE19" s="312"/>
      <c r="AF19" s="312"/>
      <c r="AG19" s="312"/>
      <c r="AH19" s="312"/>
      <c r="AI19" s="312"/>
      <c r="AJ19" s="312"/>
      <c r="AK19" s="312"/>
      <c r="AL19" s="312"/>
      <c r="AM19" s="312"/>
    </row>
    <row r="20" spans="2:39">
      <c r="B20" s="310"/>
      <c r="C20" s="313"/>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2"/>
      <c r="AD20" s="312"/>
      <c r="AE20" s="312"/>
      <c r="AF20" s="312"/>
      <c r="AG20" s="312"/>
      <c r="AH20" s="312"/>
      <c r="AI20" s="312"/>
      <c r="AJ20" s="312"/>
      <c r="AK20" s="312"/>
      <c r="AL20" s="312"/>
      <c r="AM20" s="312"/>
    </row>
    <row r="21" spans="2:39">
      <c r="B21" s="310"/>
      <c r="C21" s="313"/>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2"/>
      <c r="AD21" s="312"/>
      <c r="AE21" s="312"/>
      <c r="AF21" s="312"/>
      <c r="AG21" s="312"/>
      <c r="AH21" s="312"/>
      <c r="AI21" s="312"/>
      <c r="AJ21" s="312"/>
      <c r="AK21" s="312"/>
      <c r="AL21" s="312"/>
      <c r="AM21" s="312"/>
    </row>
    <row r="22" spans="2:39">
      <c r="B22" s="310"/>
      <c r="C22" s="313"/>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2"/>
      <c r="AD22" s="312"/>
      <c r="AE22" s="312"/>
      <c r="AF22" s="312"/>
      <c r="AG22" s="312"/>
      <c r="AH22" s="312"/>
      <c r="AI22" s="312"/>
      <c r="AJ22" s="312"/>
      <c r="AK22" s="312"/>
      <c r="AL22" s="312"/>
      <c r="AM22" s="312"/>
    </row>
    <row r="23" spans="2:39">
      <c r="B23" s="310"/>
      <c r="C23" s="313"/>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2"/>
      <c r="AD23" s="312"/>
      <c r="AE23" s="312"/>
      <c r="AF23" s="312"/>
      <c r="AG23" s="312"/>
      <c r="AH23" s="312"/>
      <c r="AI23" s="312"/>
      <c r="AJ23" s="312"/>
      <c r="AK23" s="312"/>
      <c r="AL23" s="312"/>
      <c r="AM23" s="312"/>
    </row>
    <row r="24" spans="2:39">
      <c r="B24" s="310"/>
      <c r="C24" s="313"/>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2"/>
      <c r="AD24" s="312"/>
      <c r="AE24" s="312"/>
      <c r="AF24" s="312"/>
      <c r="AG24" s="312"/>
      <c r="AH24" s="312"/>
      <c r="AI24" s="312"/>
      <c r="AJ24" s="312"/>
      <c r="AK24" s="312"/>
      <c r="AL24" s="312"/>
      <c r="AM24" s="312"/>
    </row>
    <row r="25" spans="2:39">
      <c r="B25" s="310"/>
      <c r="C25" s="313"/>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2"/>
      <c r="AD25" s="312"/>
      <c r="AE25" s="312"/>
      <c r="AF25" s="312"/>
      <c r="AG25" s="312"/>
      <c r="AH25" s="312"/>
      <c r="AI25" s="312"/>
      <c r="AJ25" s="312"/>
      <c r="AK25" s="312"/>
      <c r="AL25" s="312"/>
      <c r="AM25" s="312"/>
    </row>
    <row r="26" spans="2:39">
      <c r="B26" s="310"/>
      <c r="C26" s="313"/>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2"/>
      <c r="AD26" s="312"/>
      <c r="AE26" s="312"/>
      <c r="AF26" s="312"/>
      <c r="AG26" s="312"/>
      <c r="AH26" s="312"/>
      <c r="AI26" s="312"/>
      <c r="AJ26" s="312"/>
      <c r="AK26" s="312"/>
      <c r="AL26" s="312"/>
      <c r="AM26" s="312"/>
    </row>
    <row r="27" spans="2:39">
      <c r="B27" s="310"/>
      <c r="C27" s="313"/>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2"/>
      <c r="AD27" s="312"/>
      <c r="AE27" s="312"/>
      <c r="AF27" s="312"/>
      <c r="AG27" s="312"/>
      <c r="AH27" s="312"/>
      <c r="AI27" s="312"/>
      <c r="AJ27" s="312"/>
      <c r="AK27" s="312"/>
      <c r="AL27" s="312"/>
      <c r="AM27" s="312"/>
    </row>
    <row r="28" spans="2:39">
      <c r="B28" s="310"/>
      <c r="C28" s="313"/>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2"/>
      <c r="AD28" s="312"/>
      <c r="AE28" s="312"/>
      <c r="AF28" s="312"/>
      <c r="AG28" s="312"/>
      <c r="AH28" s="312"/>
      <c r="AI28" s="312"/>
      <c r="AJ28" s="312"/>
      <c r="AK28" s="312"/>
      <c r="AL28" s="312"/>
      <c r="AM28" s="312"/>
    </row>
    <row r="29" spans="2:39">
      <c r="B29" s="310"/>
      <c r="C29" s="313"/>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2"/>
      <c r="AD29" s="312"/>
      <c r="AE29" s="312"/>
      <c r="AF29" s="312"/>
      <c r="AG29" s="312"/>
      <c r="AH29" s="312"/>
      <c r="AI29" s="312"/>
      <c r="AJ29" s="312"/>
      <c r="AK29" s="312"/>
      <c r="AL29" s="312"/>
      <c r="AM29" s="312"/>
    </row>
    <row r="30" spans="2:39">
      <c r="B30" s="310"/>
      <c r="C30" s="313"/>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2"/>
      <c r="AD30" s="312"/>
      <c r="AE30" s="312"/>
      <c r="AF30" s="312"/>
      <c r="AG30" s="312"/>
      <c r="AH30" s="312"/>
      <c r="AI30" s="312"/>
      <c r="AJ30" s="312"/>
      <c r="AK30" s="312"/>
      <c r="AL30" s="312"/>
      <c r="AM30" s="312"/>
    </row>
    <row r="31" spans="2:39">
      <c r="B31" s="310"/>
      <c r="C31" s="313"/>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2"/>
      <c r="AD31" s="312"/>
      <c r="AE31" s="312"/>
      <c r="AF31" s="312"/>
      <c r="AG31" s="312"/>
      <c r="AH31" s="312"/>
      <c r="AI31" s="312"/>
      <c r="AJ31" s="312"/>
      <c r="AK31" s="312"/>
      <c r="AL31" s="312"/>
      <c r="AM31" s="312"/>
    </row>
    <row r="32" spans="2:39">
      <c r="B32" s="310"/>
      <c r="C32" s="313"/>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2"/>
      <c r="AD32" s="312"/>
      <c r="AE32" s="312"/>
      <c r="AF32" s="312"/>
      <c r="AG32" s="312"/>
      <c r="AH32" s="312"/>
      <c r="AI32" s="312"/>
      <c r="AJ32" s="312"/>
      <c r="AK32" s="312"/>
      <c r="AL32" s="312"/>
      <c r="AM32" s="312"/>
    </row>
    <row r="33" spans="2:39">
      <c r="B33" s="310"/>
      <c r="C33" s="313"/>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2"/>
      <c r="AD33" s="312"/>
      <c r="AE33" s="312"/>
      <c r="AF33" s="312"/>
      <c r="AG33" s="312"/>
      <c r="AH33" s="312"/>
      <c r="AI33" s="312"/>
      <c r="AJ33" s="312"/>
      <c r="AK33" s="312"/>
      <c r="AL33" s="312"/>
      <c r="AM33" s="312"/>
    </row>
    <row r="34" spans="2:39">
      <c r="B34" s="155" t="s">
        <v>397</v>
      </c>
    </row>
    <row r="35" spans="2:39">
      <c r="B35" s="155"/>
    </row>
    <row r="36" spans="2:39">
      <c r="B36" s="156" t="s">
        <v>398</v>
      </c>
      <c r="C36" s="157"/>
      <c r="D36" s="157"/>
      <c r="E36" s="157"/>
      <c r="F36" s="157"/>
      <c r="G36" s="157"/>
      <c r="H36" s="157"/>
      <c r="I36" s="157"/>
      <c r="J36" s="157"/>
      <c r="K36" s="157"/>
      <c r="L36" s="157"/>
      <c r="M36" s="157"/>
      <c r="N36" s="157"/>
      <c r="O36" s="157"/>
      <c r="P36" s="158"/>
    </row>
    <row r="37" spans="2:39">
      <c r="B37" s="159"/>
      <c r="C37" s="160" t="s">
        <v>399</v>
      </c>
      <c r="D37" s="161" t="s">
        <v>400</v>
      </c>
      <c r="E37" s="160"/>
      <c r="F37" s="160"/>
      <c r="G37" s="160"/>
      <c r="H37" s="160"/>
      <c r="I37" s="160"/>
      <c r="J37" s="160"/>
      <c r="K37" s="160"/>
      <c r="L37" s="160"/>
      <c r="M37" s="160"/>
      <c r="N37" s="160"/>
      <c r="O37" s="160"/>
      <c r="P37" s="162"/>
    </row>
    <row r="38" spans="2:39">
      <c r="B38" s="159"/>
      <c r="C38" s="160" t="s">
        <v>401</v>
      </c>
      <c r="D38" s="161" t="s">
        <v>402</v>
      </c>
      <c r="E38" s="163"/>
      <c r="F38" s="163"/>
      <c r="G38" s="163"/>
      <c r="H38" s="163"/>
      <c r="I38" s="163"/>
      <c r="J38" s="163"/>
      <c r="K38" s="163"/>
      <c r="L38" s="163"/>
      <c r="M38" s="163"/>
      <c r="N38" s="163"/>
      <c r="O38" s="163"/>
      <c r="P38" s="164"/>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row>
    <row r="39" spans="2:39">
      <c r="B39" s="159"/>
      <c r="C39" s="160" t="s">
        <v>403</v>
      </c>
      <c r="D39" s="166" t="s">
        <v>404</v>
      </c>
      <c r="E39" s="160"/>
      <c r="F39" s="160"/>
      <c r="G39" s="160"/>
      <c r="H39" s="160"/>
      <c r="I39" s="160"/>
      <c r="J39" s="160"/>
      <c r="K39" s="160"/>
      <c r="L39" s="160"/>
      <c r="M39" s="160"/>
      <c r="N39" s="160"/>
      <c r="O39" s="160"/>
      <c r="P39" s="162"/>
    </row>
    <row r="40" spans="2:39">
      <c r="B40" s="159"/>
      <c r="C40" s="160" t="s">
        <v>405</v>
      </c>
      <c r="D40" s="166" t="s">
        <v>406</v>
      </c>
      <c r="E40" s="160"/>
      <c r="F40" s="160"/>
      <c r="G40" s="160"/>
      <c r="H40" s="160"/>
      <c r="I40" s="160"/>
      <c r="J40" s="160"/>
      <c r="K40" s="160"/>
      <c r="L40" s="160"/>
      <c r="M40" s="160"/>
      <c r="N40" s="160"/>
      <c r="O40" s="160"/>
      <c r="P40" s="162"/>
    </row>
    <row r="41" spans="2:39">
      <c r="B41" s="159"/>
      <c r="C41" s="160" t="s">
        <v>407</v>
      </c>
      <c r="D41" s="166" t="s">
        <v>408</v>
      </c>
      <c r="E41" s="160"/>
      <c r="F41" s="160"/>
      <c r="G41" s="160"/>
      <c r="H41" s="160"/>
      <c r="I41" s="160"/>
      <c r="J41" s="160"/>
      <c r="K41" s="160"/>
      <c r="L41" s="160"/>
      <c r="M41" s="160"/>
      <c r="N41" s="160"/>
      <c r="O41" s="160"/>
      <c r="P41" s="162"/>
    </row>
    <row r="42" spans="2:39">
      <c r="B42" s="167"/>
      <c r="C42" s="168" t="s">
        <v>409</v>
      </c>
      <c r="D42" s="169" t="s">
        <v>410</v>
      </c>
      <c r="E42" s="149"/>
      <c r="F42" s="149"/>
      <c r="G42" s="149"/>
      <c r="H42" s="149"/>
      <c r="I42" s="149"/>
      <c r="J42" s="149"/>
      <c r="K42" s="149"/>
      <c r="L42" s="149"/>
      <c r="M42" s="149"/>
      <c r="N42" s="149"/>
      <c r="O42" s="149"/>
      <c r="P42" s="170"/>
    </row>
    <row r="43" spans="2:39">
      <c r="C43" s="155"/>
      <c r="D43" s="171"/>
    </row>
    <row r="44" spans="2:39">
      <c r="B44" s="469" t="s">
        <v>411</v>
      </c>
      <c r="C44" s="470"/>
      <c r="D44" s="470"/>
      <c r="E44" s="470"/>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470"/>
      <c r="AD44" s="470"/>
      <c r="AE44" s="470"/>
      <c r="AF44" s="470"/>
      <c r="AG44" s="470"/>
      <c r="AH44" s="470"/>
      <c r="AI44" s="470"/>
      <c r="AJ44" s="470"/>
      <c r="AK44" s="470"/>
      <c r="AL44" s="470"/>
      <c r="AM44" s="471"/>
    </row>
    <row r="45" spans="2:39">
      <c r="B45" s="472"/>
      <c r="C45" s="473"/>
      <c r="D45" s="473"/>
      <c r="E45" s="473"/>
      <c r="F45" s="473"/>
      <c r="G45" s="473"/>
      <c r="H45" s="473"/>
      <c r="I45" s="473"/>
      <c r="J45" s="473"/>
      <c r="K45" s="473"/>
      <c r="L45" s="473"/>
      <c r="M45" s="473"/>
      <c r="N45" s="473"/>
      <c r="O45" s="473"/>
      <c r="P45" s="473"/>
      <c r="Q45" s="473"/>
      <c r="R45" s="473"/>
      <c r="S45" s="473"/>
      <c r="T45" s="473"/>
      <c r="U45" s="473"/>
      <c r="V45" s="473"/>
      <c r="W45" s="473"/>
      <c r="X45" s="473"/>
      <c r="Y45" s="473"/>
      <c r="Z45" s="473"/>
      <c r="AA45" s="473"/>
      <c r="AB45" s="473"/>
      <c r="AC45" s="473"/>
      <c r="AD45" s="473"/>
      <c r="AE45" s="473"/>
      <c r="AF45" s="473"/>
      <c r="AG45" s="473"/>
      <c r="AH45" s="473"/>
      <c r="AI45" s="473"/>
      <c r="AJ45" s="473"/>
      <c r="AK45" s="473"/>
      <c r="AL45" s="473"/>
      <c r="AM45" s="474"/>
    </row>
    <row r="46" spans="2:39">
      <c r="B46" s="475"/>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c r="AF46" s="476"/>
      <c r="AG46" s="476"/>
      <c r="AH46" s="476"/>
      <c r="AI46" s="476"/>
      <c r="AJ46" s="476"/>
      <c r="AK46" s="476"/>
      <c r="AL46" s="476"/>
      <c r="AM46" s="477"/>
    </row>
  </sheetData>
  <sheetProtection password="CF02" sheet="1" objects="1" scenarios="1" formatCells="0" formatColumns="0" formatRows="0" insertRows="0" insertHyperlinks="0" sort="0" autoFilter="0" pivotTables="0"/>
  <mergeCells count="3">
    <mergeCell ref="B3:AM3"/>
    <mergeCell ref="B44:AM46"/>
    <mergeCell ref="C1:AM1"/>
  </mergeCells>
  <phoneticPr fontId="7" type="noConversion"/>
  <pageMargins left="0.23622047244094491" right="0.23622047244094491" top="0.53187499999999999" bottom="0.51181102362204722" header="0.27750000000000002" footer="0.31496062992125984"/>
  <pageSetup paperSize="9" scale="74" fitToHeight="0" orientation="landscape" r:id="rId1"/>
  <headerFooter>
    <oddHeader>&amp;C2016. E+ KA204&amp;RVersion: 2016.01.17. - TKA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 enableFormatConditionsCalculation="0">
    <tabColor rgb="FF008000"/>
  </sheetPr>
  <dimension ref="A1:F22"/>
  <sheetViews>
    <sheetView zoomScale="120" zoomScaleNormal="120" workbookViewId="0">
      <selection activeCell="A6" sqref="A6"/>
    </sheetView>
  </sheetViews>
  <sheetFormatPr defaultColWidth="11.42578125" defaultRowHeight="12.75"/>
  <cols>
    <col min="1" max="1" width="6.140625" style="26" customWidth="1"/>
    <col min="2" max="2" width="19.42578125" style="35" customWidth="1"/>
    <col min="3" max="3" width="7.85546875" style="25" bestFit="1" customWidth="1"/>
    <col min="4" max="4" width="8.42578125" style="25" bestFit="1" customWidth="1"/>
    <col min="5" max="5" width="11.7109375" style="21" bestFit="1" customWidth="1"/>
    <col min="6" max="6" width="24.140625" style="21" bestFit="1" customWidth="1"/>
    <col min="7" max="16384" width="11.42578125" style="21"/>
  </cols>
  <sheetData>
    <row r="1" spans="1:6" ht="15.75">
      <c r="A1" s="191" t="s">
        <v>98</v>
      </c>
      <c r="B1" s="192"/>
      <c r="C1" s="193"/>
      <c r="D1" s="193"/>
      <c r="E1" s="194"/>
    </row>
    <row r="2" spans="1:6" ht="15.75">
      <c r="A2" s="195" t="s">
        <v>0</v>
      </c>
      <c r="B2" s="196"/>
      <c r="C2" s="194"/>
      <c r="D2" s="194"/>
      <c r="E2" s="194"/>
    </row>
    <row r="3" spans="1:6" ht="13.5" thickBot="1">
      <c r="A3" s="197"/>
      <c r="B3" s="198"/>
      <c r="C3" s="194"/>
      <c r="D3" s="194"/>
      <c r="E3" s="194"/>
    </row>
    <row r="4" spans="1:6" ht="51.75" thickBot="1">
      <c r="A4" s="199" t="s">
        <v>319</v>
      </c>
      <c r="B4" s="200" t="s">
        <v>32</v>
      </c>
      <c r="C4" s="201" t="s">
        <v>106</v>
      </c>
      <c r="D4" s="292" t="s">
        <v>107</v>
      </c>
      <c r="E4" s="298" t="s">
        <v>108</v>
      </c>
    </row>
    <row r="5" spans="1:6" s="30" customFormat="1" ht="13.5" thickBot="1">
      <c r="A5" s="290"/>
      <c r="B5" s="27"/>
      <c r="C5" s="28"/>
      <c r="D5" s="293" t="s">
        <v>332</v>
      </c>
      <c r="E5" s="299">
        <f>SUM(E6:E15)</f>
        <v>0</v>
      </c>
      <c r="F5" s="29" t="str">
        <f>IF(E5&gt;2750*Overview!C7,"Maximum 2750 EUR per month!","")</f>
        <v/>
      </c>
    </row>
    <row r="6" spans="1:6" s="30" customFormat="1">
      <c r="A6" s="130"/>
      <c r="B6" s="31"/>
      <c r="C6" s="36" t="str">
        <f>IF(OR(ISBLANK(A6),ISBLANK(B6)),"",Overview!$C$7)</f>
        <v/>
      </c>
      <c r="D6" s="294" t="str">
        <f>IF(OR(ISBLANK(A6),ISBLANK(B6)),"",500)</f>
        <v/>
      </c>
      <c r="E6" s="266" t="str">
        <f>IF(OR(ISBLANK(A6),ISBLANK(B6)),"Missing data",C6*D6)</f>
        <v>Missing data</v>
      </c>
      <c r="F6" s="30" t="s">
        <v>338</v>
      </c>
    </row>
    <row r="7" spans="1:6" s="30" customFormat="1">
      <c r="A7" s="131"/>
      <c r="B7" s="32"/>
      <c r="C7" s="37" t="str">
        <f>IF(OR(ISBLANK(A7),ISBLANK(B7)),"",Overview!$C$7)</f>
        <v/>
      </c>
      <c r="D7" s="295" t="str">
        <f>IF(OR(ISBLANK(A7),ISBLANK(B7)),"",250)</f>
        <v/>
      </c>
      <c r="E7" s="267" t="str">
        <f>IF(ISBLANK(A7),"",IF(ISBLANK(B7),"Missing data",C7*D7))</f>
        <v/>
      </c>
    </row>
    <row r="8" spans="1:6" s="30" customFormat="1">
      <c r="A8" s="131"/>
      <c r="B8" s="32"/>
      <c r="C8" s="37" t="str">
        <f>IF(OR(ISBLANK(A8),ISBLANK(B8)),"",Overview!$C$7)</f>
        <v/>
      </c>
      <c r="D8" s="295" t="str">
        <f t="shared" ref="D8:D15" si="0">IF(OR(ISBLANK(A8),ISBLANK(B8)),"",250)</f>
        <v/>
      </c>
      <c r="E8" s="267" t="str">
        <f t="shared" ref="E8:E15" si="1">IF(ISBLANK(A8),"",IF(ISBLANK(B8),"Missing data",C8*D8))</f>
        <v/>
      </c>
    </row>
    <row r="9" spans="1:6" s="30" customFormat="1">
      <c r="A9" s="23"/>
      <c r="B9" s="32"/>
      <c r="C9" s="37" t="str">
        <f>IF(OR(ISBLANK(A9),ISBLANK(B9)),"",Overview!$C$7)</f>
        <v/>
      </c>
      <c r="D9" s="295" t="str">
        <f t="shared" si="0"/>
        <v/>
      </c>
      <c r="E9" s="267" t="str">
        <f t="shared" si="1"/>
        <v/>
      </c>
    </row>
    <row r="10" spans="1:6" s="30" customFormat="1">
      <c r="A10" s="23"/>
      <c r="B10" s="32"/>
      <c r="C10" s="37" t="str">
        <f>IF(OR(ISBLANK(A10),ISBLANK(B10)),"",Overview!$C$7)</f>
        <v/>
      </c>
      <c r="D10" s="295" t="str">
        <f t="shared" si="0"/>
        <v/>
      </c>
      <c r="E10" s="267" t="str">
        <f t="shared" si="1"/>
        <v/>
      </c>
    </row>
    <row r="11" spans="1:6" s="30" customFormat="1">
      <c r="A11" s="23"/>
      <c r="B11" s="32"/>
      <c r="C11" s="37" t="str">
        <f>IF(OR(ISBLANK(A11),ISBLANK(B11)),"",Overview!$C$7)</f>
        <v/>
      </c>
      <c r="D11" s="295" t="str">
        <f t="shared" si="0"/>
        <v/>
      </c>
      <c r="E11" s="267" t="str">
        <f t="shared" si="1"/>
        <v/>
      </c>
    </row>
    <row r="12" spans="1:6" s="30" customFormat="1">
      <c r="A12" s="23"/>
      <c r="B12" s="32"/>
      <c r="C12" s="37" t="str">
        <f>IF(OR(ISBLANK(A12),ISBLANK(B12)),"",Overview!$C$7)</f>
        <v/>
      </c>
      <c r="D12" s="295" t="str">
        <f t="shared" si="0"/>
        <v/>
      </c>
      <c r="E12" s="267" t="str">
        <f t="shared" si="1"/>
        <v/>
      </c>
    </row>
    <row r="13" spans="1:6" s="30" customFormat="1">
      <c r="A13" s="23"/>
      <c r="B13" s="32"/>
      <c r="C13" s="37" t="str">
        <f>IF(OR(ISBLANK(A13),ISBLANK(B13)),"",Overview!$C$7)</f>
        <v/>
      </c>
      <c r="D13" s="295" t="str">
        <f t="shared" si="0"/>
        <v/>
      </c>
      <c r="E13" s="267" t="str">
        <f t="shared" si="1"/>
        <v/>
      </c>
    </row>
    <row r="14" spans="1:6" s="30" customFormat="1">
      <c r="A14" s="23"/>
      <c r="B14" s="32"/>
      <c r="C14" s="37" t="str">
        <f>IF(OR(ISBLANK(A14),ISBLANK(B14)),"",Overview!$C$7)</f>
        <v/>
      </c>
      <c r="D14" s="295" t="str">
        <f t="shared" si="0"/>
        <v/>
      </c>
      <c r="E14" s="267" t="str">
        <f t="shared" si="1"/>
        <v/>
      </c>
    </row>
    <row r="15" spans="1:6" s="30" customFormat="1">
      <c r="A15" s="23"/>
      <c r="B15" s="32"/>
      <c r="C15" s="37" t="str">
        <f>IF(OR(ISBLANK(A15),ISBLANK(B15)),"",Overview!$C$7)</f>
        <v/>
      </c>
      <c r="D15" s="295" t="str">
        <f t="shared" si="0"/>
        <v/>
      </c>
      <c r="E15" s="267" t="str">
        <f t="shared" si="1"/>
        <v/>
      </c>
    </row>
    <row r="16" spans="1:6" s="30" customFormat="1">
      <c r="A16" s="23"/>
      <c r="B16" s="32"/>
      <c r="C16" s="37" t="str">
        <f>IF(OR(ISBLANK(A16),ISBLANK(B16)),"",Overview!$C$7)</f>
        <v/>
      </c>
      <c r="D16" s="296"/>
      <c r="E16" s="300" t="str">
        <f>""</f>
        <v/>
      </c>
    </row>
    <row r="17" spans="1:5" s="30" customFormat="1">
      <c r="A17" s="23"/>
      <c r="B17" s="32"/>
      <c r="C17" s="37" t="str">
        <f>IF(OR(ISBLANK(A17),ISBLANK(B17)),"",Overview!$C$7)</f>
        <v/>
      </c>
      <c r="D17" s="296"/>
      <c r="E17" s="300" t="str">
        <f>""</f>
        <v/>
      </c>
    </row>
    <row r="18" spans="1:5" s="30" customFormat="1">
      <c r="A18" s="23"/>
      <c r="B18" s="32"/>
      <c r="C18" s="37" t="str">
        <f>IF(OR(ISBLANK(A18),ISBLANK(B18)),"",Overview!$C$7)</f>
        <v/>
      </c>
      <c r="D18" s="296"/>
      <c r="E18" s="300" t="str">
        <f>""</f>
        <v/>
      </c>
    </row>
    <row r="19" spans="1:5" s="30" customFormat="1">
      <c r="A19" s="23"/>
      <c r="B19" s="32"/>
      <c r="C19" s="37" t="str">
        <f>IF(OR(ISBLANK(A19),ISBLANK(B19)),"",Overview!$C$7)</f>
        <v/>
      </c>
      <c r="D19" s="296"/>
      <c r="E19" s="300" t="str">
        <f>""</f>
        <v/>
      </c>
    </row>
    <row r="20" spans="1:5" s="30" customFormat="1" ht="13.5" thickBot="1">
      <c r="A20" s="24"/>
      <c r="B20" s="33"/>
      <c r="C20" s="38" t="str">
        <f>IF(OR(ISBLANK(A20),ISBLANK(B20)),"",Overview!$C$7)</f>
        <v/>
      </c>
      <c r="D20" s="297"/>
      <c r="E20" s="301" t="str">
        <f>""</f>
        <v/>
      </c>
    </row>
    <row r="22" spans="1:5">
      <c r="A22" s="34"/>
    </row>
  </sheetData>
  <sheetProtection password="CF02" sheet="1" objects="1" scenarios="1" formatColumns="0"/>
  <phoneticPr fontId="7" type="noConversion"/>
  <conditionalFormatting sqref="E5">
    <cfRule type="expression" dxfId="19" priority="22" stopIfTrue="1">
      <formula>F5&lt;&gt;""</formula>
    </cfRule>
  </conditionalFormatting>
  <dataValidations disablePrompts="1" count="1">
    <dataValidation type="list" allowBlank="1" showInputMessage="1" showErrorMessage="1" sqref="B6:B20">
      <formula1>Countries</formula1>
    </dataValidation>
  </dataValidations>
  <pageMargins left="0.74803149606299213" right="0.74803149606299213" top="0.98425196850393704" bottom="0.98425196850393704" header="0.51181102362204722" footer="0.51181102362204722"/>
  <pageSetup paperSize="9" scale="110" orientation="portrait" r:id="rId1"/>
  <headerFooter>
    <oddHeader>&amp;C&amp;11 2016. E+ KA204&amp;RVersion: 2016.01.17. - TKA</oddHeader>
    <oddFooter>&amp;C&amp;"Arial,Félkövér"&amp;A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 enableFormatConditionsCalculation="0">
    <tabColor rgb="FF008000"/>
    <pageSetUpPr fitToPage="1"/>
  </sheetPr>
  <dimension ref="A1:K110"/>
  <sheetViews>
    <sheetView zoomScaleNormal="100" workbookViewId="0">
      <selection activeCell="A7" sqref="A7"/>
    </sheetView>
  </sheetViews>
  <sheetFormatPr defaultColWidth="11.42578125" defaultRowHeight="12.75"/>
  <cols>
    <col min="1" max="1" width="6.42578125" style="64" customWidth="1"/>
    <col min="2" max="2" width="19.42578125" style="59" customWidth="1"/>
    <col min="3" max="3" width="7" style="60" bestFit="1" customWidth="1"/>
    <col min="4" max="4" width="31.28515625" style="59" customWidth="1"/>
    <col min="5" max="5" width="6.42578125" style="64" customWidth="1"/>
    <col min="6" max="6" width="19.42578125" style="59" customWidth="1"/>
    <col min="7" max="7" width="14.42578125" style="61" customWidth="1"/>
    <col min="8" max="8" width="10.42578125" style="62" bestFit="1" customWidth="1"/>
    <col min="9" max="9" width="18" style="63" customWidth="1"/>
    <col min="10" max="10" width="11.7109375" style="269" customWidth="1"/>
    <col min="11" max="11" width="24.85546875" style="30" bestFit="1" customWidth="1"/>
    <col min="12" max="12" width="27.7109375" style="30" customWidth="1"/>
    <col min="13" max="16384" width="11.42578125" style="30"/>
  </cols>
  <sheetData>
    <row r="1" spans="1:11" s="21" customFormat="1" ht="15.75" customHeight="1">
      <c r="A1" s="191" t="s">
        <v>126</v>
      </c>
      <c r="B1" s="196"/>
      <c r="C1" s="202"/>
      <c r="D1" s="196"/>
      <c r="E1" s="196"/>
      <c r="F1" s="259" t="s">
        <v>158</v>
      </c>
      <c r="G1" s="261"/>
      <c r="H1" s="263"/>
      <c r="I1" s="330" t="s">
        <v>448</v>
      </c>
    </row>
    <row r="2" spans="1:11" s="21" customFormat="1" ht="13.5" customHeight="1" thickBot="1">
      <c r="A2" s="195" t="s">
        <v>0</v>
      </c>
      <c r="B2" s="198"/>
      <c r="C2" s="203"/>
      <c r="D2" s="198"/>
      <c r="E2" s="198"/>
      <c r="F2" s="260" t="s">
        <v>127</v>
      </c>
      <c r="G2" s="262"/>
      <c r="H2" s="264"/>
      <c r="I2" s="331" t="s">
        <v>449</v>
      </c>
    </row>
    <row r="3" spans="1:11" s="21" customFormat="1" ht="14.25" thickBot="1">
      <c r="A3" s="204" t="s">
        <v>1</v>
      </c>
      <c r="B3" s="205"/>
      <c r="C3" s="206"/>
      <c r="D3" s="205"/>
      <c r="E3" s="204" t="s">
        <v>1</v>
      </c>
      <c r="F3" s="205"/>
      <c r="G3" s="207"/>
      <c r="H3" s="208"/>
      <c r="I3" s="209"/>
      <c r="J3" s="265"/>
    </row>
    <row r="4" spans="1:11" s="21" customFormat="1" ht="12.95" customHeight="1" thickBot="1">
      <c r="A4" s="481" t="s">
        <v>319</v>
      </c>
      <c r="B4" s="483" t="s">
        <v>32</v>
      </c>
      <c r="C4" s="483" t="s">
        <v>336</v>
      </c>
      <c r="D4" s="483" t="s">
        <v>129</v>
      </c>
      <c r="E4" s="485" t="s">
        <v>425</v>
      </c>
      <c r="F4" s="486"/>
      <c r="G4" s="491" t="s">
        <v>431</v>
      </c>
      <c r="H4" s="489" t="s">
        <v>155</v>
      </c>
      <c r="I4" s="483" t="s">
        <v>130</v>
      </c>
      <c r="J4" s="487" t="s">
        <v>131</v>
      </c>
    </row>
    <row r="5" spans="1:11" s="21" customFormat="1" ht="13.5" thickBot="1">
      <c r="A5" s="482"/>
      <c r="B5" s="484"/>
      <c r="C5" s="484"/>
      <c r="D5" s="484"/>
      <c r="E5" s="210" t="s">
        <v>424</v>
      </c>
      <c r="F5" s="211" t="s">
        <v>32</v>
      </c>
      <c r="G5" s="492"/>
      <c r="H5" s="490"/>
      <c r="I5" s="484"/>
      <c r="J5" s="488"/>
    </row>
    <row r="6" spans="1:11" s="21" customFormat="1" ht="13.5" thickBot="1">
      <c r="A6" s="212"/>
      <c r="B6" s="213"/>
      <c r="C6" s="213"/>
      <c r="D6" s="213"/>
      <c r="E6" s="212"/>
      <c r="F6" s="213"/>
      <c r="G6" s="214"/>
      <c r="H6" s="215"/>
      <c r="I6" s="217" t="s">
        <v>329</v>
      </c>
      <c r="J6" s="299">
        <f>SUM(J7:J108)</f>
        <v>0</v>
      </c>
    </row>
    <row r="7" spans="1:11">
      <c r="A7" s="49"/>
      <c r="B7" s="50" t="str">
        <f>IF(ISBLANK(A7),"",VLOOKUP(A7,Management!$A$6:$C$20,2,0))</f>
        <v/>
      </c>
      <c r="C7" s="132"/>
      <c r="D7" s="133"/>
      <c r="E7" s="49"/>
      <c r="F7" s="50" t="str">
        <f>IF(ISBLANK(E7),"",VLOOKUP(E7,Management!$A$6:$C$20,2,0))</f>
        <v/>
      </c>
      <c r="G7" s="144"/>
      <c r="H7" s="40"/>
      <c r="I7" s="51"/>
      <c r="J7" s="266" t="str">
        <f>IF(ISBLANK(A7),"",IF(OR(ISBLANK(C7),ISBLANK(D7),ISBLANK(G7),ISBLANK(H7),ISBLANK(I7)),"Missing data",H7*VLOOKUP(I7,Ceilings!$J$4:$K$5,2,0)))</f>
        <v/>
      </c>
      <c r="K7" s="21"/>
    </row>
    <row r="8" spans="1:11">
      <c r="A8" s="52"/>
      <c r="B8" s="53" t="str">
        <f>IF(ISBLANK(A8),"",VLOOKUP(A8,Management!$A$6:$C$20,2,0))</f>
        <v/>
      </c>
      <c r="C8" s="41"/>
      <c r="D8" s="42"/>
      <c r="E8" s="52"/>
      <c r="F8" s="53" t="str">
        <f>IF(ISBLANK(E8),"",VLOOKUP(E8,Management!$A$6:$C$20,2,0))</f>
        <v/>
      </c>
      <c r="G8" s="145"/>
      <c r="H8" s="43"/>
      <c r="I8" s="54"/>
      <c r="J8" s="267" t="str">
        <f>IF(ISBLANK(A8),"",IF(OR(ISBLANK(C8),ISBLANK(D8),ISBLANK(G8),ISBLANK(H8),ISBLANK(I8)),"Missing data",H8*VLOOKUP(I8,Ceilings!$J$4:$K$5,2,0)))</f>
        <v/>
      </c>
    </row>
    <row r="9" spans="1:11">
      <c r="A9" s="52"/>
      <c r="B9" s="53" t="str">
        <f>IF(ISBLANK(A9),"",VLOOKUP(A9,Management!$A$6:$C$20,2,0))</f>
        <v/>
      </c>
      <c r="C9" s="41"/>
      <c r="D9" s="42"/>
      <c r="E9" s="52"/>
      <c r="F9" s="53" t="str">
        <f>IF(ISBLANK(E9),"",VLOOKUP(E9,Management!$A$6:$C$20,2,0))</f>
        <v/>
      </c>
      <c r="G9" s="145"/>
      <c r="H9" s="43"/>
      <c r="I9" s="54"/>
      <c r="J9" s="267" t="str">
        <f>IF(ISBLANK(A9),"",IF(OR(ISBLANK(C9),ISBLANK(D9),ISBLANK(G9),ISBLANK(H9),ISBLANK(I9)),"Missing data",H9*VLOOKUP(I9,Ceilings!$J$4:$K$5,2,0)))</f>
        <v/>
      </c>
    </row>
    <row r="10" spans="1:11">
      <c r="A10" s="52"/>
      <c r="B10" s="53" t="str">
        <f>IF(ISBLANK(A10),"",VLOOKUP(A10,Management!$A$6:$C$20,2,0))</f>
        <v/>
      </c>
      <c r="C10" s="41"/>
      <c r="D10" s="42"/>
      <c r="E10" s="52"/>
      <c r="F10" s="53" t="str">
        <f>IF(ISBLANK(E10),"",VLOOKUP(E10,Management!$A$6:$C$20,2,0))</f>
        <v/>
      </c>
      <c r="G10" s="145"/>
      <c r="H10" s="43"/>
      <c r="I10" s="54"/>
      <c r="J10" s="267" t="str">
        <f>IF(ISBLANK(A10),"",IF(OR(ISBLANK(C10),ISBLANK(D10),ISBLANK(G10),ISBLANK(H10),ISBLANK(I10)),"Missing data",H10*VLOOKUP(I10,Ceilings!$J$4:$K$5,2,0)))</f>
        <v/>
      </c>
    </row>
    <row r="11" spans="1:11">
      <c r="A11" s="52"/>
      <c r="B11" s="53" t="str">
        <f>IF(ISBLANK(A11),"",VLOOKUP(A11,Management!$A$6:$C$20,2,0))</f>
        <v/>
      </c>
      <c r="C11" s="41"/>
      <c r="D11" s="42"/>
      <c r="E11" s="52"/>
      <c r="F11" s="53" t="str">
        <f>IF(ISBLANK(E11),"",VLOOKUP(E11,Management!$A$6:$C$20,2,0))</f>
        <v/>
      </c>
      <c r="G11" s="145"/>
      <c r="H11" s="43"/>
      <c r="I11" s="54"/>
      <c r="J11" s="267" t="str">
        <f>IF(ISBLANK(A11),"",IF(OR(ISBLANK(C11),ISBLANK(D11),ISBLANK(G11),ISBLANK(H11),ISBLANK(I11)),"Missing data",H11*VLOOKUP(I11,Ceilings!$J$4:$K$5,2,0)))</f>
        <v/>
      </c>
    </row>
    <row r="12" spans="1:11">
      <c r="A12" s="52"/>
      <c r="B12" s="53" t="str">
        <f>IF(ISBLANK(A12),"",VLOOKUP(A12,Management!$A$6:$C$20,2,0))</f>
        <v/>
      </c>
      <c r="C12" s="41"/>
      <c r="D12" s="42"/>
      <c r="E12" s="52"/>
      <c r="F12" s="53" t="str">
        <f>IF(ISBLANK(E12),"",VLOOKUP(E12,Management!$A$6:$C$20,2,0))</f>
        <v/>
      </c>
      <c r="G12" s="145"/>
      <c r="H12" s="43"/>
      <c r="I12" s="54"/>
      <c r="J12" s="267" t="str">
        <f>IF(ISBLANK(A12),"",IF(OR(ISBLANK(C12),ISBLANK(D12),ISBLANK(G12),ISBLANK(H12),ISBLANK(I12)),"Missing data",H12*VLOOKUP(I12,Ceilings!$J$4:$K$5,2,0)))</f>
        <v/>
      </c>
    </row>
    <row r="13" spans="1:11">
      <c r="A13" s="52"/>
      <c r="B13" s="53" t="str">
        <f>IF(ISBLANK(A13),"",VLOOKUP(A13,Management!$A$6:$C$20,2,0))</f>
        <v/>
      </c>
      <c r="C13" s="41"/>
      <c r="D13" s="42"/>
      <c r="E13" s="52"/>
      <c r="F13" s="53" t="str">
        <f>IF(ISBLANK(E13),"",VLOOKUP(E13,Management!$A$6:$C$20,2,0))</f>
        <v/>
      </c>
      <c r="G13" s="145"/>
      <c r="H13" s="43"/>
      <c r="I13" s="54"/>
      <c r="J13" s="267" t="str">
        <f>IF(ISBLANK(A13),"",IF(OR(ISBLANK(C13),ISBLANK(D13),ISBLANK(G13),ISBLANK(H13),ISBLANK(I13)),"Missing data",H13*VLOOKUP(I13,Ceilings!$J$4:$K$5,2,0)))</f>
        <v/>
      </c>
    </row>
    <row r="14" spans="1:11">
      <c r="A14" s="52"/>
      <c r="B14" s="53" t="str">
        <f>IF(ISBLANK(A14),"",VLOOKUP(A14,Management!$A$6:$C$20,2,0))</f>
        <v/>
      </c>
      <c r="C14" s="41"/>
      <c r="D14" s="42"/>
      <c r="E14" s="52"/>
      <c r="F14" s="53" t="str">
        <f>IF(ISBLANK(E14),"",VLOOKUP(E14,Management!$A$6:$C$20,2,0))</f>
        <v/>
      </c>
      <c r="G14" s="145"/>
      <c r="H14" s="43"/>
      <c r="I14" s="54"/>
      <c r="J14" s="267" t="str">
        <f>IF(ISBLANK(A14),"",IF(OR(ISBLANK(C14),ISBLANK(D14),ISBLANK(G14),ISBLANK(H14),ISBLANK(I14)),"Missing data",H14*VLOOKUP(I14,Ceilings!$J$4:$K$5,2,0)))</f>
        <v/>
      </c>
    </row>
    <row r="15" spans="1:11">
      <c r="A15" s="52"/>
      <c r="B15" s="53" t="str">
        <f>IF(ISBLANK(A15),"",VLOOKUP(A15,Management!$A$6:$C$20,2,0))</f>
        <v/>
      </c>
      <c r="C15" s="41"/>
      <c r="D15" s="44"/>
      <c r="E15" s="52"/>
      <c r="F15" s="53" t="str">
        <f>IF(ISBLANK(E15),"",VLOOKUP(E15,Management!$A$6:$C$20,2,0))</f>
        <v/>
      </c>
      <c r="G15" s="145"/>
      <c r="H15" s="43"/>
      <c r="I15" s="54"/>
      <c r="J15" s="267" t="str">
        <f>IF(ISBLANK(A15),"",IF(OR(ISBLANK(C15),ISBLANK(D15),ISBLANK(G15),ISBLANK(H15),ISBLANK(I15)),"Missing data",H15*VLOOKUP(I15,Ceilings!$J$4:$K$5,2,0)))</f>
        <v/>
      </c>
    </row>
    <row r="16" spans="1:11">
      <c r="A16" s="52"/>
      <c r="B16" s="53" t="str">
        <f>IF(ISBLANK(A16),"",VLOOKUP(A16,Management!$A$6:$C$20,2,0))</f>
        <v/>
      </c>
      <c r="C16" s="41"/>
      <c r="D16" s="42"/>
      <c r="E16" s="52"/>
      <c r="F16" s="53" t="str">
        <f>IF(ISBLANK(E16),"",VLOOKUP(E16,Management!$A$6:$C$20,2,0))</f>
        <v/>
      </c>
      <c r="G16" s="145"/>
      <c r="H16" s="43"/>
      <c r="I16" s="54"/>
      <c r="J16" s="267" t="str">
        <f>IF(ISBLANK(A16),"",IF(OR(ISBLANK(C16),ISBLANK(D16),ISBLANK(G16),ISBLANK(H16),ISBLANK(I16)),"Missing data",H16*VLOOKUP(I16,Ceilings!$J$4:$K$5,2,0)))</f>
        <v/>
      </c>
    </row>
    <row r="17" spans="1:10">
      <c r="A17" s="52"/>
      <c r="B17" s="53" t="str">
        <f>IF(ISBLANK(A17),"",VLOOKUP(A17,Management!$A$6:$C$20,2,0))</f>
        <v/>
      </c>
      <c r="C17" s="41"/>
      <c r="D17" s="42"/>
      <c r="E17" s="52"/>
      <c r="F17" s="53" t="str">
        <f>IF(ISBLANK(E17),"",VLOOKUP(E17,Management!$A$6:$C$20,2,0))</f>
        <v/>
      </c>
      <c r="G17" s="145"/>
      <c r="H17" s="43"/>
      <c r="I17" s="54"/>
      <c r="J17" s="267" t="str">
        <f>IF(ISBLANK(A17),"",IF(OR(ISBLANK(C17),ISBLANK(D17),ISBLANK(G17),ISBLANK(H17),ISBLANK(I17)),"Missing data",H17*VLOOKUP(I17,Ceilings!$J$4:$K$5,2,0)))</f>
        <v/>
      </c>
    </row>
    <row r="18" spans="1:10">
      <c r="A18" s="52"/>
      <c r="B18" s="53" t="str">
        <f>IF(ISBLANK(A18),"",VLOOKUP(A18,Management!$A$6:$C$20,2,0))</f>
        <v/>
      </c>
      <c r="C18" s="41"/>
      <c r="D18" s="42"/>
      <c r="E18" s="52"/>
      <c r="F18" s="53" t="str">
        <f>IF(ISBLANK(E18),"",VLOOKUP(E18,Management!$A$6:$C$20,2,0))</f>
        <v/>
      </c>
      <c r="G18" s="145"/>
      <c r="H18" s="43"/>
      <c r="I18" s="54"/>
      <c r="J18" s="267" t="str">
        <f>IF(ISBLANK(A18),"",IF(OR(ISBLANK(C18),ISBLANK(D18),ISBLANK(G18),ISBLANK(H18),ISBLANK(I18)),"Missing data",H18*VLOOKUP(I18,Ceilings!$J$4:$K$5,2,0)))</f>
        <v/>
      </c>
    </row>
    <row r="19" spans="1:10">
      <c r="A19" s="52"/>
      <c r="B19" s="53" t="str">
        <f>IF(ISBLANK(A19),"",VLOOKUP(A19,Management!$A$6:$C$20,2,0))</f>
        <v/>
      </c>
      <c r="C19" s="41"/>
      <c r="D19" s="42"/>
      <c r="E19" s="52"/>
      <c r="F19" s="53" t="str">
        <f>IF(ISBLANK(E19),"",VLOOKUP(E19,Management!$A$6:$C$20,2,0))</f>
        <v/>
      </c>
      <c r="G19" s="145"/>
      <c r="H19" s="43"/>
      <c r="I19" s="54"/>
      <c r="J19" s="267" t="str">
        <f>IF(ISBLANK(A19),"",IF(OR(ISBLANK(C19),ISBLANK(D19),ISBLANK(G19),ISBLANK(H19),ISBLANK(I19)),"Missing data",H19*VLOOKUP(I19,Ceilings!$J$4:$K$5,2,0)))</f>
        <v/>
      </c>
    </row>
    <row r="20" spans="1:10">
      <c r="A20" s="52"/>
      <c r="B20" s="53" t="str">
        <f>IF(ISBLANK(A20),"",VLOOKUP(A20,Management!$A$6:$C$20,2,0))</f>
        <v/>
      </c>
      <c r="C20" s="41"/>
      <c r="D20" s="42"/>
      <c r="E20" s="52"/>
      <c r="F20" s="53" t="str">
        <f>IF(ISBLANK(E20),"",VLOOKUP(E20,Management!$A$6:$C$20,2,0))</f>
        <v/>
      </c>
      <c r="G20" s="145"/>
      <c r="H20" s="43"/>
      <c r="I20" s="54"/>
      <c r="J20" s="267" t="str">
        <f>IF(ISBLANK(A20),"",IF(OR(ISBLANK(C20),ISBLANK(D20),ISBLANK(G20),ISBLANK(H20),ISBLANK(I20)),"Missing data",H20*VLOOKUP(I20,Ceilings!$J$4:$K$5,2,0)))</f>
        <v/>
      </c>
    </row>
    <row r="21" spans="1:10">
      <c r="A21" s="52"/>
      <c r="B21" s="53" t="str">
        <f>IF(ISBLANK(A21),"",VLOOKUP(A21,Management!$A$6:$C$20,2,0))</f>
        <v/>
      </c>
      <c r="C21" s="41"/>
      <c r="D21" s="42"/>
      <c r="E21" s="52"/>
      <c r="F21" s="53" t="str">
        <f>IF(ISBLANK(E21),"",VLOOKUP(E21,Management!$A$6:$C$20,2,0))</f>
        <v/>
      </c>
      <c r="G21" s="145"/>
      <c r="H21" s="43"/>
      <c r="I21" s="54"/>
      <c r="J21" s="267" t="str">
        <f>IF(ISBLANK(A21),"",IF(OR(ISBLANK(C21),ISBLANK(D21),ISBLANK(G21),ISBLANK(H21),ISBLANK(I21)),"Missing data",H21*VLOOKUP(I21,Ceilings!$J$4:$K$5,2,0)))</f>
        <v/>
      </c>
    </row>
    <row r="22" spans="1:10">
      <c r="A22" s="52"/>
      <c r="B22" s="53" t="str">
        <f>IF(ISBLANK(A22),"",VLOOKUP(A22,Management!$A$6:$C$20,2,0))</f>
        <v/>
      </c>
      <c r="C22" s="41"/>
      <c r="D22" s="42"/>
      <c r="E22" s="52"/>
      <c r="F22" s="53" t="str">
        <f>IF(ISBLANK(E22),"",VLOOKUP(E22,Management!$A$6:$C$20,2,0))</f>
        <v/>
      </c>
      <c r="G22" s="145"/>
      <c r="H22" s="43"/>
      <c r="I22" s="54"/>
      <c r="J22" s="267" t="str">
        <f>IF(ISBLANK(A22),"",IF(OR(ISBLANK(C22),ISBLANK(D22),ISBLANK(G22),ISBLANK(H22),ISBLANK(I22)),"Missing data",H22*VLOOKUP(I22,Ceilings!$J$4:$K$5,2,0)))</f>
        <v/>
      </c>
    </row>
    <row r="23" spans="1:10">
      <c r="A23" s="52"/>
      <c r="B23" s="53" t="str">
        <f>IF(ISBLANK(A23),"",VLOOKUP(A23,Management!$A$6:$C$20,2,0))</f>
        <v/>
      </c>
      <c r="C23" s="41"/>
      <c r="D23" s="42"/>
      <c r="E23" s="52"/>
      <c r="F23" s="53" t="str">
        <f>IF(ISBLANK(E23),"",VLOOKUP(E23,Management!$A$6:$C$20,2,0))</f>
        <v/>
      </c>
      <c r="G23" s="145"/>
      <c r="H23" s="43"/>
      <c r="I23" s="54"/>
      <c r="J23" s="267" t="str">
        <f>IF(ISBLANK(A23),"",IF(OR(ISBLANK(C23),ISBLANK(D23),ISBLANK(G23),ISBLANK(H23),ISBLANK(I23)),"Missing data",H23*VLOOKUP(I23,Ceilings!$J$4:$K$5,2,0)))</f>
        <v/>
      </c>
    </row>
    <row r="24" spans="1:10">
      <c r="A24" s="52"/>
      <c r="B24" s="53" t="str">
        <f>IF(ISBLANK(A24),"",VLOOKUP(A24,Management!$A$6:$C$20,2,0))</f>
        <v/>
      </c>
      <c r="C24" s="41"/>
      <c r="D24" s="42"/>
      <c r="E24" s="52"/>
      <c r="F24" s="53" t="str">
        <f>IF(ISBLANK(E24),"",VLOOKUP(E24,Management!$A$6:$C$20,2,0))</f>
        <v/>
      </c>
      <c r="G24" s="145"/>
      <c r="H24" s="43"/>
      <c r="I24" s="54"/>
      <c r="J24" s="267" t="str">
        <f>IF(ISBLANK(A24),"",IF(OR(ISBLANK(C24),ISBLANK(D24),ISBLANK(G24),ISBLANK(H24),ISBLANK(I24)),"Missing data",H24*VLOOKUP(I24,Ceilings!$J$4:$K$5,2,0)))</f>
        <v/>
      </c>
    </row>
    <row r="25" spans="1:10">
      <c r="A25" s="52"/>
      <c r="B25" s="53" t="str">
        <f>IF(ISBLANK(A25),"",VLOOKUP(A25,Management!$A$6:$C$20,2,0))</f>
        <v/>
      </c>
      <c r="C25" s="41"/>
      <c r="D25" s="42"/>
      <c r="E25" s="52"/>
      <c r="F25" s="53" t="str">
        <f>IF(ISBLANK(E25),"",VLOOKUP(E25,Management!$A$6:$C$20,2,0))</f>
        <v/>
      </c>
      <c r="G25" s="145"/>
      <c r="H25" s="43"/>
      <c r="I25" s="54"/>
      <c r="J25" s="267" t="str">
        <f>IF(ISBLANK(A25),"",IF(OR(ISBLANK(C25),ISBLANK(D25),ISBLANK(G25),ISBLANK(H25),ISBLANK(I25)),"Missing data",H25*VLOOKUP(I25,Ceilings!$J$4:$K$5,2,0)))</f>
        <v/>
      </c>
    </row>
    <row r="26" spans="1:10">
      <c r="A26" s="52"/>
      <c r="B26" s="53" t="str">
        <f>IF(ISBLANK(A26),"",VLOOKUP(A26,Management!$A$6:$C$20,2,0))</f>
        <v/>
      </c>
      <c r="C26" s="41"/>
      <c r="D26" s="42"/>
      <c r="E26" s="52"/>
      <c r="F26" s="53" t="str">
        <f>IF(ISBLANK(E26),"",VLOOKUP(E26,Management!$A$6:$C$20,2,0))</f>
        <v/>
      </c>
      <c r="G26" s="145"/>
      <c r="H26" s="43"/>
      <c r="I26" s="54"/>
      <c r="J26" s="267" t="str">
        <f>IF(ISBLANK(A26),"",IF(OR(ISBLANK(C26),ISBLANK(D26),ISBLANK(G26),ISBLANK(H26),ISBLANK(I26)),"Missing data",H26*VLOOKUP(I26,Ceilings!$J$4:$K$5,2,0)))</f>
        <v/>
      </c>
    </row>
    <row r="27" spans="1:10">
      <c r="A27" s="52"/>
      <c r="B27" s="53" t="str">
        <f>IF(ISBLANK(A27),"",VLOOKUP(A27,Management!$A$6:$C$20,2,0))</f>
        <v/>
      </c>
      <c r="C27" s="41"/>
      <c r="D27" s="42"/>
      <c r="E27" s="52"/>
      <c r="F27" s="53" t="str">
        <f>IF(ISBLANK(E27),"",VLOOKUP(E27,Management!$A$6:$C$20,2,0))</f>
        <v/>
      </c>
      <c r="G27" s="145"/>
      <c r="H27" s="43"/>
      <c r="I27" s="54"/>
      <c r="J27" s="267" t="str">
        <f>IF(ISBLANK(A27),"",IF(OR(ISBLANK(C27),ISBLANK(D27),ISBLANK(G27),ISBLANK(H27),ISBLANK(I27)),"Missing data",H27*VLOOKUP(I27,Ceilings!$J$4:$K$5,2,0)))</f>
        <v/>
      </c>
    </row>
    <row r="28" spans="1:10">
      <c r="A28" s="52"/>
      <c r="B28" s="53" t="str">
        <f>IF(ISBLANK(A28),"",VLOOKUP(A28,Management!$A$6:$C$20,2,0))</f>
        <v/>
      </c>
      <c r="C28" s="41"/>
      <c r="D28" s="42"/>
      <c r="E28" s="52"/>
      <c r="F28" s="53" t="str">
        <f>IF(ISBLANK(E28),"",VLOOKUP(E28,Management!$A$6:$C$20,2,0))</f>
        <v/>
      </c>
      <c r="G28" s="145"/>
      <c r="H28" s="43"/>
      <c r="I28" s="54"/>
      <c r="J28" s="267" t="str">
        <f>IF(ISBLANK(A28),"",IF(OR(ISBLANK(C28),ISBLANK(D28),ISBLANK(G28),ISBLANK(H28),ISBLANK(I28)),"Missing data",H28*VLOOKUP(I28,Ceilings!$J$4:$K$5,2,0)))</f>
        <v/>
      </c>
    </row>
    <row r="29" spans="1:10">
      <c r="A29" s="52"/>
      <c r="B29" s="53" t="str">
        <f>IF(ISBLANK(A29),"",VLOOKUP(A29,Management!$A$6:$C$20,2,0))</f>
        <v/>
      </c>
      <c r="C29" s="41"/>
      <c r="D29" s="42"/>
      <c r="E29" s="52"/>
      <c r="F29" s="53" t="str">
        <f>IF(ISBLANK(E29),"",VLOOKUP(E29,Management!$A$6:$C$20,2,0))</f>
        <v/>
      </c>
      <c r="G29" s="145"/>
      <c r="H29" s="43"/>
      <c r="I29" s="54"/>
      <c r="J29" s="267" t="str">
        <f>IF(ISBLANK(A29),"",IF(OR(ISBLANK(C29),ISBLANK(D29),ISBLANK(G29),ISBLANK(H29),ISBLANK(I29)),"Missing data",H29*VLOOKUP(I29,Ceilings!$J$4:$K$5,2,0)))</f>
        <v/>
      </c>
    </row>
    <row r="30" spans="1:10">
      <c r="A30" s="52"/>
      <c r="B30" s="53" t="str">
        <f>IF(ISBLANK(A30),"",VLOOKUP(A30,Management!$A$6:$C$20,2,0))</f>
        <v/>
      </c>
      <c r="C30" s="41"/>
      <c r="D30" s="42"/>
      <c r="E30" s="52"/>
      <c r="F30" s="53" t="str">
        <f>IF(ISBLANK(E30),"",VLOOKUP(E30,Management!$A$6:$C$20,2,0))</f>
        <v/>
      </c>
      <c r="G30" s="145"/>
      <c r="H30" s="43"/>
      <c r="I30" s="54"/>
      <c r="J30" s="267" t="str">
        <f>IF(ISBLANK(A30),"",IF(OR(ISBLANK(C30),ISBLANK(D30),ISBLANK(G30),ISBLANK(H30),ISBLANK(I30)),"Missing data",H30*VLOOKUP(I30,Ceilings!$J$4:$K$5,2,0)))</f>
        <v/>
      </c>
    </row>
    <row r="31" spans="1:10">
      <c r="A31" s="52"/>
      <c r="B31" s="53" t="str">
        <f>IF(ISBLANK(A31),"",VLOOKUP(A31,Management!$A$6:$C$20,2,0))</f>
        <v/>
      </c>
      <c r="C31" s="41"/>
      <c r="D31" s="42"/>
      <c r="E31" s="52"/>
      <c r="F31" s="53" t="str">
        <f>IF(ISBLANK(E31),"",VLOOKUP(E31,Management!$A$6:$C$20,2,0))</f>
        <v/>
      </c>
      <c r="G31" s="145"/>
      <c r="H31" s="43"/>
      <c r="I31" s="54"/>
      <c r="J31" s="267" t="str">
        <f>IF(ISBLANK(A31),"",IF(OR(ISBLANK(C31),ISBLANK(D31),ISBLANK(G31),ISBLANK(H31),ISBLANK(I31)),"Missing data",H31*VLOOKUP(I31,Ceilings!$J$4:$K$5,2,0)))</f>
        <v/>
      </c>
    </row>
    <row r="32" spans="1:10">
      <c r="A32" s="52"/>
      <c r="B32" s="53" t="str">
        <f>IF(ISBLANK(A32),"",VLOOKUP(A32,Management!$A$6:$C$20,2,0))</f>
        <v/>
      </c>
      <c r="C32" s="41"/>
      <c r="D32" s="42"/>
      <c r="E32" s="52"/>
      <c r="F32" s="53" t="str">
        <f>IF(ISBLANK(E32),"",VLOOKUP(E32,Management!$A$6:$C$20,2,0))</f>
        <v/>
      </c>
      <c r="G32" s="145"/>
      <c r="H32" s="43"/>
      <c r="I32" s="54"/>
      <c r="J32" s="267" t="str">
        <f>IF(ISBLANK(A32),"",IF(OR(ISBLANK(C32),ISBLANK(D32),ISBLANK(G32),ISBLANK(H32),ISBLANK(I32)),"Missing data",H32*VLOOKUP(I32,Ceilings!$J$4:$K$5,2,0)))</f>
        <v/>
      </c>
    </row>
    <row r="33" spans="1:10">
      <c r="A33" s="52"/>
      <c r="B33" s="53" t="str">
        <f>IF(ISBLANK(A33),"",VLOOKUP(A33,Management!$A$6:$C$20,2,0))</f>
        <v/>
      </c>
      <c r="C33" s="41"/>
      <c r="D33" s="42"/>
      <c r="E33" s="52"/>
      <c r="F33" s="53" t="str">
        <f>IF(ISBLANK(E33),"",VLOOKUP(E33,Management!$A$6:$C$20,2,0))</f>
        <v/>
      </c>
      <c r="G33" s="145"/>
      <c r="H33" s="43"/>
      <c r="I33" s="54"/>
      <c r="J33" s="267" t="str">
        <f>IF(ISBLANK(A33),"",IF(OR(ISBLANK(C33),ISBLANK(D33),ISBLANK(G33),ISBLANK(H33),ISBLANK(I33)),"Missing data",H33*VLOOKUP(I33,Ceilings!$J$4:$K$5,2,0)))</f>
        <v/>
      </c>
    </row>
    <row r="34" spans="1:10">
      <c r="A34" s="52"/>
      <c r="B34" s="53" t="str">
        <f>IF(ISBLANK(A34),"",VLOOKUP(A34,Management!$A$6:$C$20,2,0))</f>
        <v/>
      </c>
      <c r="C34" s="41"/>
      <c r="D34" s="42"/>
      <c r="E34" s="52"/>
      <c r="F34" s="53" t="str">
        <f>IF(ISBLANK(E34),"",VLOOKUP(E34,Management!$A$6:$C$20,2,0))</f>
        <v/>
      </c>
      <c r="G34" s="145"/>
      <c r="H34" s="43"/>
      <c r="I34" s="54"/>
      <c r="J34" s="267" t="str">
        <f>IF(ISBLANK(A34),"",IF(OR(ISBLANK(C34),ISBLANK(D34),ISBLANK(G34),ISBLANK(H34),ISBLANK(I34)),"Missing data",H34*VLOOKUP(I34,Ceilings!$J$4:$K$5,2,0)))</f>
        <v/>
      </c>
    </row>
    <row r="35" spans="1:10">
      <c r="A35" s="52"/>
      <c r="B35" s="53" t="str">
        <f>IF(ISBLANK(A35),"",VLOOKUP(A35,Management!$A$6:$C$20,2,0))</f>
        <v/>
      </c>
      <c r="C35" s="41"/>
      <c r="D35" s="42"/>
      <c r="E35" s="52"/>
      <c r="F35" s="53" t="str">
        <f>IF(ISBLANK(E35),"",VLOOKUP(E35,Management!$A$6:$C$20,2,0))</f>
        <v/>
      </c>
      <c r="G35" s="145"/>
      <c r="H35" s="43"/>
      <c r="I35" s="54"/>
      <c r="J35" s="267" t="str">
        <f>IF(ISBLANK(A35),"",IF(OR(ISBLANK(C35),ISBLANK(D35),ISBLANK(G35),ISBLANK(H35),ISBLANK(I35)),"Missing data",H35*VLOOKUP(I35,Ceilings!$J$4:$K$5,2,0)))</f>
        <v/>
      </c>
    </row>
    <row r="36" spans="1:10">
      <c r="A36" s="52"/>
      <c r="B36" s="53" t="str">
        <f>IF(ISBLANK(A36),"",VLOOKUP(A36,Management!$A$6:$C$20,2,0))</f>
        <v/>
      </c>
      <c r="C36" s="41"/>
      <c r="D36" s="42"/>
      <c r="E36" s="52"/>
      <c r="F36" s="53" t="str">
        <f>IF(ISBLANK(E36),"",VLOOKUP(E36,Management!$A$6:$C$20,2,0))</f>
        <v/>
      </c>
      <c r="G36" s="145"/>
      <c r="H36" s="43"/>
      <c r="I36" s="54"/>
      <c r="J36" s="267" t="str">
        <f>IF(ISBLANK(A36),"",IF(OR(ISBLANK(C36),ISBLANK(D36),ISBLANK(G36),ISBLANK(H36),ISBLANK(I36)),"Missing data",H36*VLOOKUP(I36,Ceilings!$J$4:$K$5,2,0)))</f>
        <v/>
      </c>
    </row>
    <row r="37" spans="1:10">
      <c r="A37" s="52"/>
      <c r="B37" s="53" t="str">
        <f>IF(ISBLANK(A37),"",VLOOKUP(A37,Management!$A$6:$C$20,2,0))</f>
        <v/>
      </c>
      <c r="C37" s="41"/>
      <c r="D37" s="42"/>
      <c r="E37" s="52"/>
      <c r="F37" s="53" t="str">
        <f>IF(ISBLANK(E37),"",VLOOKUP(E37,Management!$A$6:$C$20,2,0))</f>
        <v/>
      </c>
      <c r="G37" s="145"/>
      <c r="H37" s="43"/>
      <c r="I37" s="54"/>
      <c r="J37" s="267" t="str">
        <f>IF(ISBLANK(A37),"",IF(OR(ISBLANK(C37),ISBLANK(D37),ISBLANK(G37),ISBLANK(H37),ISBLANK(I37)),"Missing data",H37*VLOOKUP(I37,Ceilings!$J$4:$K$5,2,0)))</f>
        <v/>
      </c>
    </row>
    <row r="38" spans="1:10">
      <c r="A38" s="52"/>
      <c r="B38" s="53" t="str">
        <f>IF(ISBLANK(A38),"",VLOOKUP(A38,Management!$A$6:$C$20,2,0))</f>
        <v/>
      </c>
      <c r="C38" s="41"/>
      <c r="D38" s="42"/>
      <c r="E38" s="52"/>
      <c r="F38" s="53" t="str">
        <f>IF(ISBLANK(E38),"",VLOOKUP(E38,Management!$A$6:$C$20,2,0))</f>
        <v/>
      </c>
      <c r="G38" s="145"/>
      <c r="H38" s="43"/>
      <c r="I38" s="54"/>
      <c r="J38" s="267" t="str">
        <f>IF(ISBLANK(A38),"",IF(OR(ISBLANK(C38),ISBLANK(D38),ISBLANK(G38),ISBLANK(H38),ISBLANK(I38)),"Missing data",H38*VLOOKUP(I38,Ceilings!$J$4:$K$5,2,0)))</f>
        <v/>
      </c>
    </row>
    <row r="39" spans="1:10">
      <c r="A39" s="52"/>
      <c r="B39" s="53" t="str">
        <f>IF(ISBLANK(A39),"",VLOOKUP(A39,Management!$A$6:$C$20,2,0))</f>
        <v/>
      </c>
      <c r="C39" s="41"/>
      <c r="D39" s="42"/>
      <c r="E39" s="52"/>
      <c r="F39" s="53" t="str">
        <f>IF(ISBLANK(E39),"",VLOOKUP(E39,Management!$A$6:$C$20,2,0))</f>
        <v/>
      </c>
      <c r="G39" s="145"/>
      <c r="H39" s="43"/>
      <c r="I39" s="54"/>
      <c r="J39" s="267" t="str">
        <f>IF(ISBLANK(A39),"",IF(OR(ISBLANK(C39),ISBLANK(D39),ISBLANK(G39),ISBLANK(H39),ISBLANK(I39)),"Missing data",H39*VLOOKUP(I39,Ceilings!$J$4:$K$5,2,0)))</f>
        <v/>
      </c>
    </row>
    <row r="40" spans="1:10">
      <c r="A40" s="52"/>
      <c r="B40" s="53" t="str">
        <f>IF(ISBLANK(A40),"",VLOOKUP(A40,Management!$A$6:$C$20,2,0))</f>
        <v/>
      </c>
      <c r="C40" s="41"/>
      <c r="D40" s="42"/>
      <c r="E40" s="52"/>
      <c r="F40" s="53" t="str">
        <f>IF(ISBLANK(E40),"",VLOOKUP(E40,Management!$A$6:$C$20,2,0))</f>
        <v/>
      </c>
      <c r="G40" s="145"/>
      <c r="H40" s="43"/>
      <c r="I40" s="54"/>
      <c r="J40" s="267" t="str">
        <f>IF(ISBLANK(A40),"",IF(OR(ISBLANK(C40),ISBLANK(D40),ISBLANK(G40),ISBLANK(H40),ISBLANK(I40)),"Missing data",H40*VLOOKUP(I40,Ceilings!$J$4:$K$5,2,0)))</f>
        <v/>
      </c>
    </row>
    <row r="41" spans="1:10">
      <c r="A41" s="52"/>
      <c r="B41" s="53" t="str">
        <f>IF(ISBLANK(A41),"",VLOOKUP(A41,Management!$A$6:$C$20,2,0))</f>
        <v/>
      </c>
      <c r="C41" s="41"/>
      <c r="D41" s="42"/>
      <c r="E41" s="52"/>
      <c r="F41" s="53" t="str">
        <f>IF(ISBLANK(E41),"",VLOOKUP(E41,Management!$A$6:$C$20,2,0))</f>
        <v/>
      </c>
      <c r="G41" s="145"/>
      <c r="H41" s="43"/>
      <c r="I41" s="54"/>
      <c r="J41" s="267" t="str">
        <f>IF(ISBLANK(A41),"",IF(OR(ISBLANK(C41),ISBLANK(D41),ISBLANK(G41),ISBLANK(H41),ISBLANK(I41)),"Missing data",H41*VLOOKUP(I41,Ceilings!$J$4:$K$5,2,0)))</f>
        <v/>
      </c>
    </row>
    <row r="42" spans="1:10">
      <c r="A42" s="52"/>
      <c r="B42" s="53" t="str">
        <f>IF(ISBLANK(A42),"",VLOOKUP(A42,Management!$A$6:$C$20,2,0))</f>
        <v/>
      </c>
      <c r="C42" s="41"/>
      <c r="D42" s="42"/>
      <c r="E42" s="52"/>
      <c r="F42" s="53" t="str">
        <f>IF(ISBLANK(E42),"",VLOOKUP(E42,Management!$A$6:$C$20,2,0))</f>
        <v/>
      </c>
      <c r="G42" s="145"/>
      <c r="H42" s="43"/>
      <c r="I42" s="54"/>
      <c r="J42" s="267" t="str">
        <f>IF(ISBLANK(A42),"",IF(OR(ISBLANK(C42),ISBLANK(D42),ISBLANK(G42),ISBLANK(H42),ISBLANK(I42)),"Missing data",H42*VLOOKUP(I42,Ceilings!$J$4:$K$5,2,0)))</f>
        <v/>
      </c>
    </row>
    <row r="43" spans="1:10">
      <c r="A43" s="52"/>
      <c r="B43" s="53" t="str">
        <f>IF(ISBLANK(A43),"",VLOOKUP(A43,Management!$A$6:$C$20,2,0))</f>
        <v/>
      </c>
      <c r="C43" s="41"/>
      <c r="D43" s="42"/>
      <c r="E43" s="52"/>
      <c r="F43" s="53" t="str">
        <f>IF(ISBLANK(E43),"",VLOOKUP(E43,Management!$A$6:$C$20,2,0))</f>
        <v/>
      </c>
      <c r="G43" s="145"/>
      <c r="H43" s="43"/>
      <c r="I43" s="54"/>
      <c r="J43" s="267" t="str">
        <f>IF(ISBLANK(A43),"",IF(OR(ISBLANK(C43),ISBLANK(D43),ISBLANK(G43),ISBLANK(H43),ISBLANK(I43)),"Missing data",H43*VLOOKUP(I43,Ceilings!$J$4:$K$5,2,0)))</f>
        <v/>
      </c>
    </row>
    <row r="44" spans="1:10">
      <c r="A44" s="52"/>
      <c r="B44" s="53" t="str">
        <f>IF(ISBLANK(A44),"",VLOOKUP(A44,Management!$A$6:$C$20,2,0))</f>
        <v/>
      </c>
      <c r="C44" s="41"/>
      <c r="D44" s="42"/>
      <c r="E44" s="52"/>
      <c r="F44" s="53" t="str">
        <f>IF(ISBLANK(E44),"",VLOOKUP(E44,Management!$A$6:$C$20,2,0))</f>
        <v/>
      </c>
      <c r="G44" s="145"/>
      <c r="H44" s="43"/>
      <c r="I44" s="54"/>
      <c r="J44" s="267" t="str">
        <f>IF(ISBLANK(A44),"",IF(OR(ISBLANK(C44),ISBLANK(D44),ISBLANK(G44),ISBLANK(H44),ISBLANK(I44)),"Missing data",H44*VLOOKUP(I44,Ceilings!$J$4:$K$5,2,0)))</f>
        <v/>
      </c>
    </row>
    <row r="45" spans="1:10">
      <c r="A45" s="52"/>
      <c r="B45" s="53" t="str">
        <f>IF(ISBLANK(A45),"",VLOOKUP(A45,Management!$A$6:$C$20,2,0))</f>
        <v/>
      </c>
      <c r="C45" s="41"/>
      <c r="D45" s="42"/>
      <c r="E45" s="52"/>
      <c r="F45" s="53" t="str">
        <f>IF(ISBLANK(E45),"",VLOOKUP(E45,Management!$A$6:$C$20,2,0))</f>
        <v/>
      </c>
      <c r="G45" s="145"/>
      <c r="H45" s="43"/>
      <c r="I45" s="54"/>
      <c r="J45" s="267" t="str">
        <f>IF(ISBLANK(A45),"",IF(OR(ISBLANK(C45),ISBLANK(D45),ISBLANK(G45),ISBLANK(H45),ISBLANK(I45)),"Missing data",H45*VLOOKUP(I45,Ceilings!$J$4:$K$5,2,0)))</f>
        <v/>
      </c>
    </row>
    <row r="46" spans="1:10">
      <c r="A46" s="52"/>
      <c r="B46" s="53" t="str">
        <f>IF(ISBLANK(A46),"",VLOOKUP(A46,Management!$A$6:$C$20,2,0))</f>
        <v/>
      </c>
      <c r="C46" s="41"/>
      <c r="D46" s="42"/>
      <c r="E46" s="52"/>
      <c r="F46" s="53" t="str">
        <f>IF(ISBLANK(E46),"",VLOOKUP(E46,Management!$A$6:$C$20,2,0))</f>
        <v/>
      </c>
      <c r="G46" s="145"/>
      <c r="H46" s="43"/>
      <c r="I46" s="54"/>
      <c r="J46" s="267" t="str">
        <f>IF(ISBLANK(A46),"",IF(OR(ISBLANK(C46),ISBLANK(D46),ISBLANK(G46),ISBLANK(H46),ISBLANK(I46)),"Missing data",H46*VLOOKUP(I46,Ceilings!$J$4:$K$5,2,0)))</f>
        <v/>
      </c>
    </row>
    <row r="47" spans="1:10">
      <c r="A47" s="52"/>
      <c r="B47" s="53" t="str">
        <f>IF(ISBLANK(A47),"",VLOOKUP(A47,Management!$A$6:$C$20,2,0))</f>
        <v/>
      </c>
      <c r="C47" s="41"/>
      <c r="D47" s="42"/>
      <c r="E47" s="52"/>
      <c r="F47" s="53" t="str">
        <f>IF(ISBLANK(E47),"",VLOOKUP(E47,Management!$A$6:$C$20,2,0))</f>
        <v/>
      </c>
      <c r="G47" s="145"/>
      <c r="H47" s="43"/>
      <c r="I47" s="54"/>
      <c r="J47" s="267" t="str">
        <f>IF(ISBLANK(A47),"",IF(OR(ISBLANK(C47),ISBLANK(D47),ISBLANK(G47),ISBLANK(H47),ISBLANK(I47)),"Missing data",H47*VLOOKUP(I47,Ceilings!$J$4:$K$5,2,0)))</f>
        <v/>
      </c>
    </row>
    <row r="48" spans="1:10">
      <c r="A48" s="52"/>
      <c r="B48" s="53" t="str">
        <f>IF(ISBLANK(A48),"",VLOOKUP(A48,Management!$A$6:$C$20,2,0))</f>
        <v/>
      </c>
      <c r="C48" s="41"/>
      <c r="D48" s="42"/>
      <c r="E48" s="52"/>
      <c r="F48" s="53" t="str">
        <f>IF(ISBLANK(E48),"",VLOOKUP(E48,Management!$A$6:$C$20,2,0))</f>
        <v/>
      </c>
      <c r="G48" s="145"/>
      <c r="H48" s="43"/>
      <c r="I48" s="54"/>
      <c r="J48" s="267" t="str">
        <f>IF(ISBLANK(A48),"",IF(OR(ISBLANK(C48),ISBLANK(D48),ISBLANK(G48),ISBLANK(H48),ISBLANK(I48)),"Missing data",H48*VLOOKUP(I48,Ceilings!$J$4:$K$5,2,0)))</f>
        <v/>
      </c>
    </row>
    <row r="49" spans="1:10">
      <c r="A49" s="52"/>
      <c r="B49" s="53" t="str">
        <f>IF(ISBLANK(A49),"",VLOOKUP(A49,Management!$A$6:$C$20,2,0))</f>
        <v/>
      </c>
      <c r="C49" s="41"/>
      <c r="D49" s="42"/>
      <c r="E49" s="52"/>
      <c r="F49" s="53" t="str">
        <f>IF(ISBLANK(E49),"",VLOOKUP(E49,Management!$A$6:$C$20,2,0))</f>
        <v/>
      </c>
      <c r="G49" s="145"/>
      <c r="H49" s="43"/>
      <c r="I49" s="54"/>
      <c r="J49" s="267" t="str">
        <f>IF(ISBLANK(A49),"",IF(OR(ISBLANK(C49),ISBLANK(D49),ISBLANK(G49),ISBLANK(H49),ISBLANK(I49)),"Missing data",H49*VLOOKUP(I49,Ceilings!$J$4:$K$5,2,0)))</f>
        <v/>
      </c>
    </row>
    <row r="50" spans="1:10">
      <c r="A50" s="52"/>
      <c r="B50" s="53" t="str">
        <f>IF(ISBLANK(A50),"",VLOOKUP(A50,Management!$A$6:$C$20,2,0))</f>
        <v/>
      </c>
      <c r="C50" s="41"/>
      <c r="D50" s="42"/>
      <c r="E50" s="52"/>
      <c r="F50" s="53" t="str">
        <f>IF(ISBLANK(E50),"",VLOOKUP(E50,Management!$A$6:$C$20,2,0))</f>
        <v/>
      </c>
      <c r="G50" s="145"/>
      <c r="H50" s="43"/>
      <c r="I50" s="54"/>
      <c r="J50" s="267" t="str">
        <f>IF(ISBLANK(A50),"",IF(OR(ISBLANK(C50),ISBLANK(D50),ISBLANK(G50),ISBLANK(H50),ISBLANK(I50)),"Missing data",H50*VLOOKUP(I50,Ceilings!$J$4:$K$5,2,0)))</f>
        <v/>
      </c>
    </row>
    <row r="51" spans="1:10">
      <c r="A51" s="52"/>
      <c r="B51" s="53" t="str">
        <f>IF(ISBLANK(A51),"",VLOOKUP(A51,Management!$A$6:$C$20,2,0))</f>
        <v/>
      </c>
      <c r="C51" s="41"/>
      <c r="D51" s="42"/>
      <c r="E51" s="52"/>
      <c r="F51" s="53" t="str">
        <f>IF(ISBLANK(E51),"",VLOOKUP(E51,Management!$A$6:$C$20,2,0))</f>
        <v/>
      </c>
      <c r="G51" s="145"/>
      <c r="H51" s="43"/>
      <c r="I51" s="54"/>
      <c r="J51" s="267" t="str">
        <f>IF(ISBLANK(A51),"",IF(OR(ISBLANK(C51),ISBLANK(D51),ISBLANK(G51),ISBLANK(H51),ISBLANK(I51)),"Missing data",H51*VLOOKUP(I51,Ceilings!$J$4:$K$5,2,0)))</f>
        <v/>
      </c>
    </row>
    <row r="52" spans="1:10">
      <c r="A52" s="52"/>
      <c r="B52" s="53" t="str">
        <f>IF(ISBLANK(A52),"",VLOOKUP(A52,Management!$A$6:$C$20,2,0))</f>
        <v/>
      </c>
      <c r="C52" s="41"/>
      <c r="D52" s="42"/>
      <c r="E52" s="52"/>
      <c r="F52" s="53" t="str">
        <f>IF(ISBLANK(E52),"",VLOOKUP(E52,Management!$A$6:$C$20,2,0))</f>
        <v/>
      </c>
      <c r="G52" s="145"/>
      <c r="H52" s="43"/>
      <c r="I52" s="54"/>
      <c r="J52" s="267" t="str">
        <f>IF(ISBLANK(A52),"",IF(OR(ISBLANK(C52),ISBLANK(D52),ISBLANK(G52),ISBLANK(H52),ISBLANK(I52)),"Missing data",H52*VLOOKUP(I52,Ceilings!$J$4:$K$5,2,0)))</f>
        <v/>
      </c>
    </row>
    <row r="53" spans="1:10">
      <c r="A53" s="52"/>
      <c r="B53" s="53" t="str">
        <f>IF(ISBLANK(A53),"",VLOOKUP(A53,Management!$A$6:$C$20,2,0))</f>
        <v/>
      </c>
      <c r="C53" s="41"/>
      <c r="D53" s="42"/>
      <c r="E53" s="52"/>
      <c r="F53" s="53" t="str">
        <f>IF(ISBLANK(E53),"",VLOOKUP(E53,Management!$A$6:$C$20,2,0))</f>
        <v/>
      </c>
      <c r="G53" s="145"/>
      <c r="H53" s="43"/>
      <c r="I53" s="54"/>
      <c r="J53" s="267" t="str">
        <f>IF(ISBLANK(A53),"",IF(OR(ISBLANK(C53),ISBLANK(D53),ISBLANK(G53),ISBLANK(H53),ISBLANK(I53)),"Missing data",H53*VLOOKUP(I53,Ceilings!$J$4:$K$5,2,0)))</f>
        <v/>
      </c>
    </row>
    <row r="54" spans="1:10">
      <c r="A54" s="52"/>
      <c r="B54" s="53" t="str">
        <f>IF(ISBLANK(A54),"",VLOOKUP(A54,Management!$A$6:$C$20,2,0))</f>
        <v/>
      </c>
      <c r="C54" s="41"/>
      <c r="D54" s="42"/>
      <c r="E54" s="52"/>
      <c r="F54" s="53" t="str">
        <f>IF(ISBLANK(E54),"",VLOOKUP(E54,Management!$A$6:$C$20,2,0))</f>
        <v/>
      </c>
      <c r="G54" s="145"/>
      <c r="H54" s="43"/>
      <c r="I54" s="54"/>
      <c r="J54" s="267" t="str">
        <f>IF(ISBLANK(A54),"",IF(OR(ISBLANK(C54),ISBLANK(D54),ISBLANK(G54),ISBLANK(H54),ISBLANK(I54)),"Missing data",H54*VLOOKUP(I54,Ceilings!$J$4:$K$5,2,0)))</f>
        <v/>
      </c>
    </row>
    <row r="55" spans="1:10">
      <c r="A55" s="52"/>
      <c r="B55" s="53" t="str">
        <f>IF(ISBLANK(A55),"",VLOOKUP(A55,Management!$A$6:$C$20,2,0))</f>
        <v/>
      </c>
      <c r="C55" s="41"/>
      <c r="D55" s="42"/>
      <c r="E55" s="52"/>
      <c r="F55" s="53" t="str">
        <f>IF(ISBLANK(E55),"",VLOOKUP(E55,Management!$A$6:$C$20,2,0))</f>
        <v/>
      </c>
      <c r="G55" s="145"/>
      <c r="H55" s="43"/>
      <c r="I55" s="54"/>
      <c r="J55" s="267" t="str">
        <f>IF(ISBLANK(A55),"",IF(OR(ISBLANK(C55),ISBLANK(D55),ISBLANK(G55),ISBLANK(H55),ISBLANK(I55)),"Missing data",H55*VLOOKUP(I55,Ceilings!$J$4:$K$5,2,0)))</f>
        <v/>
      </c>
    </row>
    <row r="56" spans="1:10">
      <c r="A56" s="52"/>
      <c r="B56" s="53" t="str">
        <f>IF(ISBLANK(A56),"",VLOOKUP(A56,Management!$A$6:$C$20,2,0))</f>
        <v/>
      </c>
      <c r="C56" s="41"/>
      <c r="D56" s="42"/>
      <c r="E56" s="52"/>
      <c r="F56" s="53" t="str">
        <f>IF(ISBLANK(E56),"",VLOOKUP(E56,Management!$A$6:$C$20,2,0))</f>
        <v/>
      </c>
      <c r="G56" s="145"/>
      <c r="H56" s="43"/>
      <c r="I56" s="54"/>
      <c r="J56" s="267" t="str">
        <f>IF(ISBLANK(A56),"",IF(OR(ISBLANK(C56),ISBLANK(D56),ISBLANK(G56),ISBLANK(H56),ISBLANK(I56)),"Missing data",H56*VLOOKUP(I56,Ceilings!$J$4:$K$5,2,0)))</f>
        <v/>
      </c>
    </row>
    <row r="57" spans="1:10">
      <c r="A57" s="52"/>
      <c r="B57" s="53" t="str">
        <f>IF(ISBLANK(A57),"",VLOOKUP(A57,Management!$A$6:$C$20,2,0))</f>
        <v/>
      </c>
      <c r="C57" s="41"/>
      <c r="D57" s="42"/>
      <c r="E57" s="52"/>
      <c r="F57" s="53" t="str">
        <f>IF(ISBLANK(E57),"",VLOOKUP(E57,Management!$A$6:$C$20,2,0))</f>
        <v/>
      </c>
      <c r="G57" s="145"/>
      <c r="H57" s="43"/>
      <c r="I57" s="54"/>
      <c r="J57" s="267" t="str">
        <f>IF(ISBLANK(A57),"",IF(OR(ISBLANK(C57),ISBLANK(D57),ISBLANK(G57),ISBLANK(H57),ISBLANK(I57)),"Missing data",H57*VLOOKUP(I57,Ceilings!$J$4:$K$5,2,0)))</f>
        <v/>
      </c>
    </row>
    <row r="58" spans="1:10">
      <c r="A58" s="52"/>
      <c r="B58" s="53" t="str">
        <f>IF(ISBLANK(A58),"",VLOOKUP(A58,Management!$A$6:$C$20,2,0))</f>
        <v/>
      </c>
      <c r="C58" s="41"/>
      <c r="D58" s="42"/>
      <c r="E58" s="52"/>
      <c r="F58" s="53" t="str">
        <f>IF(ISBLANK(E58),"",VLOOKUP(E58,Management!$A$6:$C$20,2,0))</f>
        <v/>
      </c>
      <c r="G58" s="145"/>
      <c r="H58" s="43"/>
      <c r="I58" s="54"/>
      <c r="J58" s="267" t="str">
        <f>IF(ISBLANK(A58),"",IF(OR(ISBLANK(C58),ISBLANK(D58),ISBLANK(G58),ISBLANK(H58),ISBLANK(I58)),"Missing data",H58*VLOOKUP(I58,Ceilings!$J$4:$K$5,2,0)))</f>
        <v/>
      </c>
    </row>
    <row r="59" spans="1:10">
      <c r="A59" s="52"/>
      <c r="B59" s="53" t="str">
        <f>IF(ISBLANK(A59),"",VLOOKUP(A59,Management!$A$6:$C$20,2,0))</f>
        <v/>
      </c>
      <c r="C59" s="41"/>
      <c r="D59" s="42"/>
      <c r="E59" s="52"/>
      <c r="F59" s="53" t="str">
        <f>IF(ISBLANK(E59),"",VLOOKUP(E59,Management!$A$6:$C$20,2,0))</f>
        <v/>
      </c>
      <c r="G59" s="145"/>
      <c r="H59" s="43"/>
      <c r="I59" s="54"/>
      <c r="J59" s="267" t="str">
        <f>IF(ISBLANK(A59),"",IF(OR(ISBLANK(C59),ISBLANK(D59),ISBLANK(G59),ISBLANK(H59),ISBLANK(I59)),"Missing data",H59*VLOOKUP(I59,Ceilings!$J$4:$K$5,2,0)))</f>
        <v/>
      </c>
    </row>
    <row r="60" spans="1:10">
      <c r="A60" s="52"/>
      <c r="B60" s="53" t="str">
        <f>IF(ISBLANK(A60),"",VLOOKUP(A60,Management!$A$6:$C$20,2,0))</f>
        <v/>
      </c>
      <c r="C60" s="41"/>
      <c r="D60" s="42"/>
      <c r="E60" s="52"/>
      <c r="F60" s="53" t="str">
        <f>IF(ISBLANK(E60),"",VLOOKUP(E60,Management!$A$6:$C$20,2,0))</f>
        <v/>
      </c>
      <c r="G60" s="145"/>
      <c r="H60" s="43"/>
      <c r="I60" s="54"/>
      <c r="J60" s="267" t="str">
        <f>IF(ISBLANK(A60),"",IF(OR(ISBLANK(C60),ISBLANK(D60),ISBLANK(G60),ISBLANK(H60),ISBLANK(I60)),"Missing data",H60*VLOOKUP(I60,Ceilings!$J$4:$K$5,2,0)))</f>
        <v/>
      </c>
    </row>
    <row r="61" spans="1:10">
      <c r="A61" s="52"/>
      <c r="B61" s="53" t="str">
        <f>IF(ISBLANK(A61),"",VLOOKUP(A61,Management!$A$6:$C$20,2,0))</f>
        <v/>
      </c>
      <c r="C61" s="41"/>
      <c r="D61" s="42"/>
      <c r="E61" s="52"/>
      <c r="F61" s="53" t="str">
        <f>IF(ISBLANK(E61),"",VLOOKUP(E61,Management!$A$6:$C$20,2,0))</f>
        <v/>
      </c>
      <c r="G61" s="145"/>
      <c r="H61" s="43"/>
      <c r="I61" s="54"/>
      <c r="J61" s="267" t="str">
        <f>IF(ISBLANK(A61),"",IF(OR(ISBLANK(C61),ISBLANK(D61),ISBLANK(G61),ISBLANK(H61),ISBLANK(I61)),"Missing data",H61*VLOOKUP(I61,Ceilings!$J$4:$K$5,2,0)))</f>
        <v/>
      </c>
    </row>
    <row r="62" spans="1:10">
      <c r="A62" s="52"/>
      <c r="B62" s="53" t="str">
        <f>IF(ISBLANK(A62),"",VLOOKUP(A62,Management!$A$6:$C$20,2,0))</f>
        <v/>
      </c>
      <c r="C62" s="41"/>
      <c r="D62" s="42"/>
      <c r="E62" s="52"/>
      <c r="F62" s="53" t="str">
        <f>IF(ISBLANK(E62),"",VLOOKUP(E62,Management!$A$6:$C$20,2,0))</f>
        <v/>
      </c>
      <c r="G62" s="145"/>
      <c r="H62" s="43"/>
      <c r="I62" s="54"/>
      <c r="J62" s="267" t="str">
        <f>IF(ISBLANK(A62),"",IF(OR(ISBLANK(C62),ISBLANK(D62),ISBLANK(G62),ISBLANK(H62),ISBLANK(I62)),"Missing data",H62*VLOOKUP(I62,Ceilings!$J$4:$K$5,2,0)))</f>
        <v/>
      </c>
    </row>
    <row r="63" spans="1:10">
      <c r="A63" s="52"/>
      <c r="B63" s="53" t="str">
        <f>IF(ISBLANK(A63),"",VLOOKUP(A63,Management!$A$6:$C$20,2,0))</f>
        <v/>
      </c>
      <c r="C63" s="41"/>
      <c r="D63" s="42"/>
      <c r="E63" s="52"/>
      <c r="F63" s="53" t="str">
        <f>IF(ISBLANK(E63),"",VLOOKUP(E63,Management!$A$6:$C$20,2,0))</f>
        <v/>
      </c>
      <c r="G63" s="145"/>
      <c r="H63" s="43"/>
      <c r="I63" s="54"/>
      <c r="J63" s="267" t="str">
        <f>IF(ISBLANK(A63),"",IF(OR(ISBLANK(C63),ISBLANK(D63),ISBLANK(G63),ISBLANK(H63),ISBLANK(I63)),"Missing data",H63*VLOOKUP(I63,Ceilings!$J$4:$K$5,2,0)))</f>
        <v/>
      </c>
    </row>
    <row r="64" spans="1:10">
      <c r="A64" s="52"/>
      <c r="B64" s="53" t="str">
        <f>IF(ISBLANK(A64),"",VLOOKUP(A64,Management!$A$6:$C$20,2,0))</f>
        <v/>
      </c>
      <c r="C64" s="41"/>
      <c r="D64" s="42"/>
      <c r="E64" s="52"/>
      <c r="F64" s="53" t="str">
        <f>IF(ISBLANK(E64),"",VLOOKUP(E64,Management!$A$6:$C$20,2,0))</f>
        <v/>
      </c>
      <c r="G64" s="145"/>
      <c r="H64" s="43"/>
      <c r="I64" s="54"/>
      <c r="J64" s="267" t="str">
        <f>IF(ISBLANK(A64),"",IF(OR(ISBLANK(C64),ISBLANK(D64),ISBLANK(G64),ISBLANK(H64),ISBLANK(I64)),"Missing data",H64*VLOOKUP(I64,Ceilings!$J$4:$K$5,2,0)))</f>
        <v/>
      </c>
    </row>
    <row r="65" spans="1:10">
      <c r="A65" s="52"/>
      <c r="B65" s="53" t="str">
        <f>IF(ISBLANK(A65),"",VLOOKUP(A65,Management!$A$6:$C$20,2,0))</f>
        <v/>
      </c>
      <c r="C65" s="41"/>
      <c r="D65" s="42"/>
      <c r="E65" s="52"/>
      <c r="F65" s="53" t="str">
        <f>IF(ISBLANK(E65),"",VLOOKUP(E65,Management!$A$6:$C$20,2,0))</f>
        <v/>
      </c>
      <c r="G65" s="145"/>
      <c r="H65" s="43"/>
      <c r="I65" s="54"/>
      <c r="J65" s="267" t="str">
        <f>IF(ISBLANK(A65),"",IF(OR(ISBLANK(C65),ISBLANK(D65),ISBLANK(G65),ISBLANK(H65),ISBLANK(I65)),"Missing data",H65*VLOOKUP(I65,Ceilings!$J$4:$K$5,2,0)))</f>
        <v/>
      </c>
    </row>
    <row r="66" spans="1:10">
      <c r="A66" s="52"/>
      <c r="B66" s="53" t="str">
        <f>IF(ISBLANK(A66),"",VLOOKUP(A66,Management!$A$6:$C$20,2,0))</f>
        <v/>
      </c>
      <c r="C66" s="41"/>
      <c r="D66" s="42"/>
      <c r="E66" s="52"/>
      <c r="F66" s="53" t="str">
        <f>IF(ISBLANK(E66),"",VLOOKUP(E66,Management!$A$6:$C$20,2,0))</f>
        <v/>
      </c>
      <c r="G66" s="145"/>
      <c r="H66" s="43"/>
      <c r="I66" s="54"/>
      <c r="J66" s="267" t="str">
        <f>IF(ISBLANK(A66),"",IF(OR(ISBLANK(C66),ISBLANK(D66),ISBLANK(G66),ISBLANK(H66),ISBLANK(I66)),"Missing data",H66*VLOOKUP(I66,Ceilings!$J$4:$K$5,2,0)))</f>
        <v/>
      </c>
    </row>
    <row r="67" spans="1:10">
      <c r="A67" s="52"/>
      <c r="B67" s="53" t="str">
        <f>IF(ISBLANK(A67),"",VLOOKUP(A67,Management!$A$6:$C$20,2,0))</f>
        <v/>
      </c>
      <c r="C67" s="41"/>
      <c r="D67" s="42"/>
      <c r="E67" s="52"/>
      <c r="F67" s="53" t="str">
        <f>IF(ISBLANK(E67),"",VLOOKUP(E67,Management!$A$6:$C$20,2,0))</f>
        <v/>
      </c>
      <c r="G67" s="145"/>
      <c r="H67" s="43"/>
      <c r="I67" s="54"/>
      <c r="J67" s="267" t="str">
        <f>IF(ISBLANK(A67),"",IF(OR(ISBLANK(C67),ISBLANK(D67),ISBLANK(G67),ISBLANK(H67),ISBLANK(I67)),"Missing data",H67*VLOOKUP(I67,Ceilings!$J$4:$K$5,2,0)))</f>
        <v/>
      </c>
    </row>
    <row r="68" spans="1:10">
      <c r="A68" s="52"/>
      <c r="B68" s="53" t="str">
        <f>IF(ISBLANK(A68),"",VLOOKUP(A68,Management!$A$6:$C$20,2,0))</f>
        <v/>
      </c>
      <c r="C68" s="41"/>
      <c r="D68" s="42"/>
      <c r="E68" s="52"/>
      <c r="F68" s="53" t="str">
        <f>IF(ISBLANK(E68),"",VLOOKUP(E68,Management!$A$6:$C$20,2,0))</f>
        <v/>
      </c>
      <c r="G68" s="145"/>
      <c r="H68" s="43"/>
      <c r="I68" s="54"/>
      <c r="J68" s="267" t="str">
        <f>IF(ISBLANK(A68),"",IF(OR(ISBLANK(C68),ISBLANK(D68),ISBLANK(G68),ISBLANK(H68),ISBLANK(I68)),"Missing data",H68*VLOOKUP(I68,Ceilings!$J$4:$K$5,2,0)))</f>
        <v/>
      </c>
    </row>
    <row r="69" spans="1:10">
      <c r="A69" s="52"/>
      <c r="B69" s="53" t="str">
        <f>IF(ISBLANK(A69),"",VLOOKUP(A69,Management!$A$6:$C$20,2,0))</f>
        <v/>
      </c>
      <c r="C69" s="41"/>
      <c r="D69" s="42"/>
      <c r="E69" s="52"/>
      <c r="F69" s="53" t="str">
        <f>IF(ISBLANK(E69),"",VLOOKUP(E69,Management!$A$6:$C$20,2,0))</f>
        <v/>
      </c>
      <c r="G69" s="145"/>
      <c r="H69" s="43"/>
      <c r="I69" s="54"/>
      <c r="J69" s="267" t="str">
        <f>IF(ISBLANK(A69),"",IF(OR(ISBLANK(C69),ISBLANK(D69),ISBLANK(G69),ISBLANK(H69),ISBLANK(I69)),"Missing data",H69*VLOOKUP(I69,Ceilings!$J$4:$K$5,2,0)))</f>
        <v/>
      </c>
    </row>
    <row r="70" spans="1:10">
      <c r="A70" s="52"/>
      <c r="B70" s="53" t="str">
        <f>IF(ISBLANK(A70),"",VLOOKUP(A70,Management!$A$6:$C$20,2,0))</f>
        <v/>
      </c>
      <c r="C70" s="41"/>
      <c r="D70" s="42"/>
      <c r="E70" s="52"/>
      <c r="F70" s="53" t="str">
        <f>IF(ISBLANK(E70),"",VLOOKUP(E70,Management!$A$6:$C$20,2,0))</f>
        <v/>
      </c>
      <c r="G70" s="145"/>
      <c r="H70" s="43"/>
      <c r="I70" s="54"/>
      <c r="J70" s="267" t="str">
        <f>IF(ISBLANK(A70),"",IF(OR(ISBLANK(C70),ISBLANK(D70),ISBLANK(G70),ISBLANK(H70),ISBLANK(I70)),"Missing data",H70*VLOOKUP(I70,Ceilings!$J$4:$K$5,2,0)))</f>
        <v/>
      </c>
    </row>
    <row r="71" spans="1:10">
      <c r="A71" s="52"/>
      <c r="B71" s="53" t="str">
        <f>IF(ISBLANK(A71),"",VLOOKUP(A71,Management!$A$6:$C$20,2,0))</f>
        <v/>
      </c>
      <c r="C71" s="41"/>
      <c r="D71" s="42"/>
      <c r="E71" s="52"/>
      <c r="F71" s="53" t="str">
        <f>IF(ISBLANK(E71),"",VLOOKUP(E71,Management!$A$6:$C$20,2,0))</f>
        <v/>
      </c>
      <c r="G71" s="145"/>
      <c r="H71" s="43"/>
      <c r="I71" s="54"/>
      <c r="J71" s="267" t="str">
        <f>IF(ISBLANK(A71),"",IF(OR(ISBLANK(C71),ISBLANK(D71),ISBLANK(G71),ISBLANK(H71),ISBLANK(I71)),"Missing data",H71*VLOOKUP(I71,Ceilings!$J$4:$K$5,2,0)))</f>
        <v/>
      </c>
    </row>
    <row r="72" spans="1:10">
      <c r="A72" s="52"/>
      <c r="B72" s="53" t="str">
        <f>IF(ISBLANK(A72),"",VLOOKUP(A72,Management!$A$6:$C$20,2,0))</f>
        <v/>
      </c>
      <c r="C72" s="41"/>
      <c r="D72" s="42"/>
      <c r="E72" s="52"/>
      <c r="F72" s="53" t="str">
        <f>IF(ISBLANK(E72),"",VLOOKUP(E72,Management!$A$6:$C$20,2,0))</f>
        <v/>
      </c>
      <c r="G72" s="145"/>
      <c r="H72" s="43"/>
      <c r="I72" s="54"/>
      <c r="J72" s="267" t="str">
        <f>IF(ISBLANK(A72),"",IF(OR(ISBLANK(C72),ISBLANK(D72),ISBLANK(G72),ISBLANK(H72),ISBLANK(I72)),"Missing data",H72*VLOOKUP(I72,Ceilings!$J$4:$K$5,2,0)))</f>
        <v/>
      </c>
    </row>
    <row r="73" spans="1:10">
      <c r="A73" s="52"/>
      <c r="B73" s="53" t="str">
        <f>IF(ISBLANK(A73),"",VLOOKUP(A73,Management!$A$6:$C$20,2,0))</f>
        <v/>
      </c>
      <c r="C73" s="41"/>
      <c r="D73" s="42"/>
      <c r="E73" s="52"/>
      <c r="F73" s="53" t="str">
        <f>IF(ISBLANK(E73),"",VLOOKUP(E73,Management!$A$6:$C$20,2,0))</f>
        <v/>
      </c>
      <c r="G73" s="145"/>
      <c r="H73" s="43"/>
      <c r="I73" s="54"/>
      <c r="J73" s="267" t="str">
        <f>IF(ISBLANK(A73),"",IF(OR(ISBLANK(C73),ISBLANK(D73),ISBLANK(G73),ISBLANK(H73),ISBLANK(I73)),"Missing data",H73*VLOOKUP(I73,Ceilings!$J$4:$K$5,2,0)))</f>
        <v/>
      </c>
    </row>
    <row r="74" spans="1:10">
      <c r="A74" s="52"/>
      <c r="B74" s="53" t="str">
        <f>IF(ISBLANK(A74),"",VLOOKUP(A74,Management!$A$6:$C$20,2,0))</f>
        <v/>
      </c>
      <c r="C74" s="41"/>
      <c r="D74" s="42"/>
      <c r="E74" s="52"/>
      <c r="F74" s="53" t="str">
        <f>IF(ISBLANK(E74),"",VLOOKUP(E74,Management!$A$6:$C$20,2,0))</f>
        <v/>
      </c>
      <c r="G74" s="145"/>
      <c r="H74" s="43"/>
      <c r="I74" s="54"/>
      <c r="J74" s="267" t="str">
        <f>IF(ISBLANK(A74),"",IF(OR(ISBLANK(C74),ISBLANK(D74),ISBLANK(G74),ISBLANK(H74),ISBLANK(I74)),"Missing data",H74*VLOOKUP(I74,Ceilings!$J$4:$K$5,2,0)))</f>
        <v/>
      </c>
    </row>
    <row r="75" spans="1:10">
      <c r="A75" s="52"/>
      <c r="B75" s="53" t="str">
        <f>IF(ISBLANK(A75),"",VLOOKUP(A75,Management!$A$6:$C$20,2,0))</f>
        <v/>
      </c>
      <c r="C75" s="41"/>
      <c r="D75" s="42"/>
      <c r="E75" s="52"/>
      <c r="F75" s="53" t="str">
        <f>IF(ISBLANK(E75),"",VLOOKUP(E75,Management!$A$6:$C$20,2,0))</f>
        <v/>
      </c>
      <c r="G75" s="145"/>
      <c r="H75" s="43"/>
      <c r="I75" s="54"/>
      <c r="J75" s="267" t="str">
        <f>IF(ISBLANK(A75),"",IF(OR(ISBLANK(C75),ISBLANK(D75),ISBLANK(G75),ISBLANK(H75),ISBLANK(I75)),"Missing data",H75*VLOOKUP(I75,Ceilings!$J$4:$K$5,2,0)))</f>
        <v/>
      </c>
    </row>
    <row r="76" spans="1:10">
      <c r="A76" s="52"/>
      <c r="B76" s="53" t="str">
        <f>IF(ISBLANK(A76),"",VLOOKUP(A76,Management!$A$6:$C$20,2,0))</f>
        <v/>
      </c>
      <c r="C76" s="41"/>
      <c r="D76" s="42"/>
      <c r="E76" s="52"/>
      <c r="F76" s="53" t="str">
        <f>IF(ISBLANK(E76),"",VLOOKUP(E76,Management!$A$6:$C$20,2,0))</f>
        <v/>
      </c>
      <c r="G76" s="145"/>
      <c r="H76" s="43"/>
      <c r="I76" s="54"/>
      <c r="J76" s="267" t="str">
        <f>IF(ISBLANK(A76),"",IF(OR(ISBLANK(C76),ISBLANK(D76),ISBLANK(G76),ISBLANK(H76),ISBLANK(I76)),"Missing data",H76*VLOOKUP(I76,Ceilings!$J$4:$K$5,2,0)))</f>
        <v/>
      </c>
    </row>
    <row r="77" spans="1:10">
      <c r="A77" s="52"/>
      <c r="B77" s="53" t="str">
        <f>IF(ISBLANK(A77),"",VLOOKUP(A77,Management!$A$6:$C$20,2,0))</f>
        <v/>
      </c>
      <c r="C77" s="41"/>
      <c r="D77" s="42"/>
      <c r="E77" s="52"/>
      <c r="F77" s="53" t="str">
        <f>IF(ISBLANK(E77),"",VLOOKUP(E77,Management!$A$6:$C$20,2,0))</f>
        <v/>
      </c>
      <c r="G77" s="145"/>
      <c r="H77" s="43"/>
      <c r="I77" s="54"/>
      <c r="J77" s="267" t="str">
        <f>IF(ISBLANK(A77),"",IF(OR(ISBLANK(C77),ISBLANK(D77),ISBLANK(G77),ISBLANK(H77),ISBLANK(I77)),"Missing data",H77*VLOOKUP(I77,Ceilings!$J$4:$K$5,2,0)))</f>
        <v/>
      </c>
    </row>
    <row r="78" spans="1:10">
      <c r="A78" s="52"/>
      <c r="B78" s="53" t="str">
        <f>IF(ISBLANK(A78),"",VLOOKUP(A78,Management!$A$6:$C$20,2,0))</f>
        <v/>
      </c>
      <c r="C78" s="41"/>
      <c r="D78" s="42"/>
      <c r="E78" s="52"/>
      <c r="F78" s="53" t="str">
        <f>IF(ISBLANK(E78),"",VLOOKUP(E78,Management!$A$6:$C$20,2,0))</f>
        <v/>
      </c>
      <c r="G78" s="145"/>
      <c r="H78" s="43"/>
      <c r="I78" s="54"/>
      <c r="J78" s="267" t="str">
        <f>IF(ISBLANK(A78),"",IF(OR(ISBLANK(C78),ISBLANK(D78),ISBLANK(G78),ISBLANK(H78),ISBLANK(I78)),"Missing data",H78*VLOOKUP(I78,Ceilings!$J$4:$K$5,2,0)))</f>
        <v/>
      </c>
    </row>
    <row r="79" spans="1:10">
      <c r="A79" s="52"/>
      <c r="B79" s="53" t="str">
        <f>IF(ISBLANK(A79),"",VLOOKUP(A79,Management!$A$6:$C$20,2,0))</f>
        <v/>
      </c>
      <c r="C79" s="41"/>
      <c r="D79" s="42"/>
      <c r="E79" s="52"/>
      <c r="F79" s="53" t="str">
        <f>IF(ISBLANK(E79),"",VLOOKUP(E79,Management!$A$6:$C$20,2,0))</f>
        <v/>
      </c>
      <c r="G79" s="145"/>
      <c r="H79" s="43"/>
      <c r="I79" s="54"/>
      <c r="J79" s="267" t="str">
        <f>IF(ISBLANK(A79),"",IF(OR(ISBLANK(C79),ISBLANK(D79),ISBLANK(G79),ISBLANK(H79),ISBLANK(I79)),"Missing data",H79*VLOOKUP(I79,Ceilings!$J$4:$K$5,2,0)))</f>
        <v/>
      </c>
    </row>
    <row r="80" spans="1:10">
      <c r="A80" s="52"/>
      <c r="B80" s="53" t="str">
        <f>IF(ISBLANK(A80),"",VLOOKUP(A80,Management!$A$6:$C$20,2,0))</f>
        <v/>
      </c>
      <c r="C80" s="41"/>
      <c r="D80" s="42"/>
      <c r="E80" s="52"/>
      <c r="F80" s="53" t="str">
        <f>IF(ISBLANK(E80),"",VLOOKUP(E80,Management!$A$6:$C$20,2,0))</f>
        <v/>
      </c>
      <c r="G80" s="145"/>
      <c r="H80" s="43"/>
      <c r="I80" s="54"/>
      <c r="J80" s="267" t="str">
        <f>IF(ISBLANK(A80),"",IF(OR(ISBLANK(C80),ISBLANK(D80),ISBLANK(G80),ISBLANK(H80),ISBLANK(I80)),"Missing data",H80*VLOOKUP(I80,Ceilings!$J$4:$K$5,2,0)))</f>
        <v/>
      </c>
    </row>
    <row r="81" spans="1:10">
      <c r="A81" s="52"/>
      <c r="B81" s="53" t="str">
        <f>IF(ISBLANK(A81),"",VLOOKUP(A81,Management!$A$6:$C$20,2,0))</f>
        <v/>
      </c>
      <c r="C81" s="41"/>
      <c r="D81" s="42"/>
      <c r="E81" s="52"/>
      <c r="F81" s="53" t="str">
        <f>IF(ISBLANK(E81),"",VLOOKUP(E81,Management!$A$6:$C$20,2,0))</f>
        <v/>
      </c>
      <c r="G81" s="145"/>
      <c r="H81" s="43"/>
      <c r="I81" s="54"/>
      <c r="J81" s="267" t="str">
        <f>IF(ISBLANK(A81),"",IF(OR(ISBLANK(C81),ISBLANK(D81),ISBLANK(G81),ISBLANK(H81),ISBLANK(I81)),"Missing data",H81*VLOOKUP(I81,Ceilings!$J$4:$K$5,2,0)))</f>
        <v/>
      </c>
    </row>
    <row r="82" spans="1:10">
      <c r="A82" s="52"/>
      <c r="B82" s="53" t="str">
        <f>IF(ISBLANK(A82),"",VLOOKUP(A82,Management!$A$6:$C$20,2,0))</f>
        <v/>
      </c>
      <c r="C82" s="41"/>
      <c r="D82" s="42"/>
      <c r="E82" s="52"/>
      <c r="F82" s="53" t="str">
        <f>IF(ISBLANK(E82),"",VLOOKUP(E82,Management!$A$6:$C$20,2,0))</f>
        <v/>
      </c>
      <c r="G82" s="145"/>
      <c r="H82" s="43"/>
      <c r="I82" s="54"/>
      <c r="J82" s="267" t="str">
        <f>IF(ISBLANK(A82),"",IF(OR(ISBLANK(C82),ISBLANK(D82),ISBLANK(G82),ISBLANK(H82),ISBLANK(I82)),"Missing data",H82*VLOOKUP(I82,Ceilings!$J$4:$K$5,2,0)))</f>
        <v/>
      </c>
    </row>
    <row r="83" spans="1:10">
      <c r="A83" s="52"/>
      <c r="B83" s="53" t="str">
        <f>IF(ISBLANK(A83),"",VLOOKUP(A83,Management!$A$6:$C$20,2,0))</f>
        <v/>
      </c>
      <c r="C83" s="41"/>
      <c r="D83" s="42"/>
      <c r="E83" s="52"/>
      <c r="F83" s="53" t="str">
        <f>IF(ISBLANK(E83),"",VLOOKUP(E83,Management!$A$6:$C$20,2,0))</f>
        <v/>
      </c>
      <c r="G83" s="145"/>
      <c r="H83" s="43"/>
      <c r="I83" s="54"/>
      <c r="J83" s="267" t="str">
        <f>IF(ISBLANK(A83),"",IF(OR(ISBLANK(C83),ISBLANK(D83),ISBLANK(G83),ISBLANK(H83),ISBLANK(I83)),"Missing data",H83*VLOOKUP(I83,Ceilings!$J$4:$K$5,2,0)))</f>
        <v/>
      </c>
    </row>
    <row r="84" spans="1:10">
      <c r="A84" s="52"/>
      <c r="B84" s="53" t="str">
        <f>IF(ISBLANK(A84),"",VLOOKUP(A84,Management!$A$6:$C$20,2,0))</f>
        <v/>
      </c>
      <c r="C84" s="41"/>
      <c r="D84" s="42"/>
      <c r="E84" s="52"/>
      <c r="F84" s="53" t="str">
        <f>IF(ISBLANK(E84),"",VLOOKUP(E84,Management!$A$6:$C$20,2,0))</f>
        <v/>
      </c>
      <c r="G84" s="145"/>
      <c r="H84" s="43"/>
      <c r="I84" s="54"/>
      <c r="J84" s="267" t="str">
        <f>IF(ISBLANK(A84),"",IF(OR(ISBLANK(C84),ISBLANK(D84),ISBLANK(G84),ISBLANK(H84),ISBLANK(I84)),"Missing data",H84*VLOOKUP(I84,Ceilings!$J$4:$K$5,2,0)))</f>
        <v/>
      </c>
    </row>
    <row r="85" spans="1:10">
      <c r="A85" s="52"/>
      <c r="B85" s="53" t="str">
        <f>IF(ISBLANK(A85),"",VLOOKUP(A85,Management!$A$6:$C$20,2,0))</f>
        <v/>
      </c>
      <c r="C85" s="41"/>
      <c r="D85" s="42"/>
      <c r="E85" s="52"/>
      <c r="F85" s="53" t="str">
        <f>IF(ISBLANK(E85),"",VLOOKUP(E85,Management!$A$6:$C$20,2,0))</f>
        <v/>
      </c>
      <c r="G85" s="145"/>
      <c r="H85" s="43"/>
      <c r="I85" s="54"/>
      <c r="J85" s="267" t="str">
        <f>IF(ISBLANK(A85),"",IF(OR(ISBLANK(C85),ISBLANK(D85),ISBLANK(G85),ISBLANK(H85),ISBLANK(I85)),"Missing data",H85*VLOOKUP(I85,Ceilings!$J$4:$K$5,2,0)))</f>
        <v/>
      </c>
    </row>
    <row r="86" spans="1:10">
      <c r="A86" s="52"/>
      <c r="B86" s="53" t="str">
        <f>IF(ISBLANK(A86),"",VLOOKUP(A86,Management!$A$6:$C$20,2,0))</f>
        <v/>
      </c>
      <c r="C86" s="41"/>
      <c r="D86" s="42"/>
      <c r="E86" s="52"/>
      <c r="F86" s="53" t="str">
        <f>IF(ISBLANK(E86),"",VLOOKUP(E86,Management!$A$6:$C$20,2,0))</f>
        <v/>
      </c>
      <c r="G86" s="145"/>
      <c r="H86" s="43"/>
      <c r="I86" s="54"/>
      <c r="J86" s="267" t="str">
        <f>IF(ISBLANK(A86),"",IF(OR(ISBLANK(C86),ISBLANK(D86),ISBLANK(G86),ISBLANK(H86),ISBLANK(I86)),"Missing data",H86*VLOOKUP(I86,Ceilings!$J$4:$K$5,2,0)))</f>
        <v/>
      </c>
    </row>
    <row r="87" spans="1:10">
      <c r="A87" s="52"/>
      <c r="B87" s="53" t="str">
        <f>IF(ISBLANK(A87),"",VLOOKUP(A87,Management!$A$6:$C$20,2,0))</f>
        <v/>
      </c>
      <c r="C87" s="41"/>
      <c r="D87" s="42"/>
      <c r="E87" s="52"/>
      <c r="F87" s="53" t="str">
        <f>IF(ISBLANK(E87),"",VLOOKUP(E87,Management!$A$6:$C$20,2,0))</f>
        <v/>
      </c>
      <c r="G87" s="145"/>
      <c r="H87" s="43"/>
      <c r="I87" s="54"/>
      <c r="J87" s="267" t="str">
        <f>IF(ISBLANK(A87),"",IF(OR(ISBLANK(C87),ISBLANK(D87),ISBLANK(G87),ISBLANK(H87),ISBLANK(I87)),"Missing data",H87*VLOOKUP(I87,Ceilings!$J$4:$K$5,2,0)))</f>
        <v/>
      </c>
    </row>
    <row r="88" spans="1:10">
      <c r="A88" s="52"/>
      <c r="B88" s="53" t="str">
        <f>IF(ISBLANK(A88),"",VLOOKUP(A88,Management!$A$6:$C$20,2,0))</f>
        <v/>
      </c>
      <c r="C88" s="41"/>
      <c r="D88" s="42"/>
      <c r="E88" s="52"/>
      <c r="F88" s="53" t="str">
        <f>IF(ISBLANK(E88),"",VLOOKUP(E88,Management!$A$6:$C$20,2,0))</f>
        <v/>
      </c>
      <c r="G88" s="145"/>
      <c r="H88" s="43"/>
      <c r="I88" s="54"/>
      <c r="J88" s="267" t="str">
        <f>IF(ISBLANK(A88),"",IF(OR(ISBLANK(C88),ISBLANK(D88),ISBLANK(G88),ISBLANK(H88),ISBLANK(I88)),"Missing data",H88*VLOOKUP(I88,Ceilings!$J$4:$K$5,2,0)))</f>
        <v/>
      </c>
    </row>
    <row r="89" spans="1:10">
      <c r="A89" s="52"/>
      <c r="B89" s="53" t="str">
        <f>IF(ISBLANK(A89),"",VLOOKUP(A89,Management!$A$6:$C$20,2,0))</f>
        <v/>
      </c>
      <c r="C89" s="41"/>
      <c r="D89" s="42"/>
      <c r="E89" s="52"/>
      <c r="F89" s="53" t="str">
        <f>IF(ISBLANK(E89),"",VLOOKUP(E89,Management!$A$6:$C$20,2,0))</f>
        <v/>
      </c>
      <c r="G89" s="145"/>
      <c r="H89" s="43"/>
      <c r="I89" s="54"/>
      <c r="J89" s="267" t="str">
        <f>IF(ISBLANK(A89),"",IF(OR(ISBLANK(C89),ISBLANK(D89),ISBLANK(G89),ISBLANK(H89),ISBLANK(I89)),"Missing data",H89*VLOOKUP(I89,Ceilings!$J$4:$K$5,2,0)))</f>
        <v/>
      </c>
    </row>
    <row r="90" spans="1:10">
      <c r="A90" s="52"/>
      <c r="B90" s="53" t="str">
        <f>IF(ISBLANK(A90),"",VLOOKUP(A90,Management!$A$6:$C$20,2,0))</f>
        <v/>
      </c>
      <c r="C90" s="41"/>
      <c r="D90" s="42"/>
      <c r="E90" s="52"/>
      <c r="F90" s="53" t="str">
        <f>IF(ISBLANK(E90),"",VLOOKUP(E90,Management!$A$6:$C$20,2,0))</f>
        <v/>
      </c>
      <c r="G90" s="145"/>
      <c r="H90" s="43"/>
      <c r="I90" s="54"/>
      <c r="J90" s="267" t="str">
        <f>IF(ISBLANK(A90),"",IF(OR(ISBLANK(C90),ISBLANK(D90),ISBLANK(G90),ISBLANK(H90),ISBLANK(I90)),"Missing data",H90*VLOOKUP(I90,Ceilings!$J$4:$K$5,2,0)))</f>
        <v/>
      </c>
    </row>
    <row r="91" spans="1:10">
      <c r="A91" s="52"/>
      <c r="B91" s="53" t="str">
        <f>IF(ISBLANK(A91),"",VLOOKUP(A91,Management!$A$6:$C$20,2,0))</f>
        <v/>
      </c>
      <c r="C91" s="41"/>
      <c r="D91" s="42"/>
      <c r="E91" s="52"/>
      <c r="F91" s="53" t="str">
        <f>IF(ISBLANK(E91),"",VLOOKUP(E91,Management!$A$6:$C$20,2,0))</f>
        <v/>
      </c>
      <c r="G91" s="145"/>
      <c r="H91" s="43"/>
      <c r="I91" s="54"/>
      <c r="J91" s="267" t="str">
        <f>IF(ISBLANK(A91),"",IF(OR(ISBLANK(C91),ISBLANK(D91),ISBLANK(G91),ISBLANK(H91),ISBLANK(I91)),"Missing data",H91*VLOOKUP(I91,Ceilings!$J$4:$K$5,2,0)))</f>
        <v/>
      </c>
    </row>
    <row r="92" spans="1:10">
      <c r="A92" s="52"/>
      <c r="B92" s="53" t="str">
        <f>IF(ISBLANK(A92),"",VLOOKUP(A92,Management!$A$6:$C$20,2,0))</f>
        <v/>
      </c>
      <c r="C92" s="41"/>
      <c r="D92" s="42"/>
      <c r="E92" s="52"/>
      <c r="F92" s="53" t="str">
        <f>IF(ISBLANK(E92),"",VLOOKUP(E92,Management!$A$6:$C$20,2,0))</f>
        <v/>
      </c>
      <c r="G92" s="145"/>
      <c r="H92" s="43"/>
      <c r="I92" s="54"/>
      <c r="J92" s="267" t="str">
        <f>IF(ISBLANK(A92),"",IF(OR(ISBLANK(C92),ISBLANK(D92),ISBLANK(G92),ISBLANK(H92),ISBLANK(I92)),"Missing data",H92*VLOOKUP(I92,Ceilings!$J$4:$K$5,2,0)))</f>
        <v/>
      </c>
    </row>
    <row r="93" spans="1:10">
      <c r="A93" s="52"/>
      <c r="B93" s="53" t="str">
        <f>IF(ISBLANK(A93),"",VLOOKUP(A93,Management!$A$6:$C$20,2,0))</f>
        <v/>
      </c>
      <c r="C93" s="41"/>
      <c r="D93" s="42"/>
      <c r="E93" s="52"/>
      <c r="F93" s="53" t="str">
        <f>IF(ISBLANK(E93),"",VLOOKUP(E93,Management!$A$6:$C$20,2,0))</f>
        <v/>
      </c>
      <c r="G93" s="145"/>
      <c r="H93" s="43"/>
      <c r="I93" s="54"/>
      <c r="J93" s="267" t="str">
        <f>IF(ISBLANK(A93),"",IF(OR(ISBLANK(C93),ISBLANK(D93),ISBLANK(G93),ISBLANK(H93),ISBLANK(I93)),"Missing data",H93*VLOOKUP(I93,Ceilings!$J$4:$K$5,2,0)))</f>
        <v/>
      </c>
    </row>
    <row r="94" spans="1:10">
      <c r="A94" s="52"/>
      <c r="B94" s="53" t="str">
        <f>IF(ISBLANK(A94),"",VLOOKUP(A94,Management!$A$6:$C$20,2,0))</f>
        <v/>
      </c>
      <c r="C94" s="41"/>
      <c r="D94" s="42"/>
      <c r="E94" s="52"/>
      <c r="F94" s="53" t="str">
        <f>IF(ISBLANK(E94),"",VLOOKUP(E94,Management!$A$6:$C$20,2,0))</f>
        <v/>
      </c>
      <c r="G94" s="145"/>
      <c r="H94" s="43"/>
      <c r="I94" s="54"/>
      <c r="J94" s="267" t="str">
        <f>IF(ISBLANK(A94),"",IF(OR(ISBLANK(C94),ISBLANK(D94),ISBLANK(G94),ISBLANK(H94),ISBLANK(I94)),"Missing data",H94*VLOOKUP(I94,Ceilings!$J$4:$K$5,2,0)))</f>
        <v/>
      </c>
    </row>
    <row r="95" spans="1:10">
      <c r="A95" s="52"/>
      <c r="B95" s="53" t="str">
        <f>IF(ISBLANK(A95),"",VLOOKUP(A95,Management!$A$6:$C$20,2,0))</f>
        <v/>
      </c>
      <c r="C95" s="41"/>
      <c r="D95" s="42"/>
      <c r="E95" s="52"/>
      <c r="F95" s="53" t="str">
        <f>IF(ISBLANK(E95),"",VLOOKUP(E95,Management!$A$6:$C$20,2,0))</f>
        <v/>
      </c>
      <c r="G95" s="145"/>
      <c r="H95" s="43"/>
      <c r="I95" s="54"/>
      <c r="J95" s="267" t="str">
        <f>IF(ISBLANK(A95),"",IF(OR(ISBLANK(C95),ISBLANK(D95),ISBLANK(G95),ISBLANK(H95),ISBLANK(I95)),"Missing data",H95*VLOOKUP(I95,Ceilings!$J$4:$K$5,2,0)))</f>
        <v/>
      </c>
    </row>
    <row r="96" spans="1:10">
      <c r="A96" s="52"/>
      <c r="B96" s="53" t="str">
        <f>IF(ISBLANK(A96),"",VLOOKUP(A96,Management!$A$6:$C$20,2,0))</f>
        <v/>
      </c>
      <c r="C96" s="41"/>
      <c r="D96" s="42"/>
      <c r="E96" s="52"/>
      <c r="F96" s="53" t="str">
        <f>IF(ISBLANK(E96),"",VLOOKUP(E96,Management!$A$6:$C$20,2,0))</f>
        <v/>
      </c>
      <c r="G96" s="145"/>
      <c r="H96" s="43"/>
      <c r="I96" s="54"/>
      <c r="J96" s="267" t="str">
        <f>IF(ISBLANK(A96),"",IF(OR(ISBLANK(C96),ISBLANK(D96),ISBLANK(G96),ISBLANK(H96),ISBLANK(I96)),"Missing data",H96*VLOOKUP(I96,Ceilings!$J$4:$K$5,2,0)))</f>
        <v/>
      </c>
    </row>
    <row r="97" spans="1:10">
      <c r="A97" s="52"/>
      <c r="B97" s="53" t="str">
        <f>IF(ISBLANK(A97),"",VLOOKUP(A97,Management!$A$6:$C$20,2,0))</f>
        <v/>
      </c>
      <c r="C97" s="41"/>
      <c r="D97" s="42"/>
      <c r="E97" s="52"/>
      <c r="F97" s="53" t="str">
        <f>IF(ISBLANK(E97),"",VLOOKUP(E97,Management!$A$6:$C$20,2,0))</f>
        <v/>
      </c>
      <c r="G97" s="145"/>
      <c r="H97" s="43"/>
      <c r="I97" s="54"/>
      <c r="J97" s="267" t="str">
        <f>IF(ISBLANK(A97),"",IF(OR(ISBLANK(C97),ISBLANK(D97),ISBLANK(G97),ISBLANK(H97),ISBLANK(I97)),"Missing data",H97*VLOOKUP(I97,Ceilings!$J$4:$K$5,2,0)))</f>
        <v/>
      </c>
    </row>
    <row r="98" spans="1:10">
      <c r="A98" s="52"/>
      <c r="B98" s="53" t="str">
        <f>IF(ISBLANK(A98),"",VLOOKUP(A98,Management!$A$6:$C$20,2,0))</f>
        <v/>
      </c>
      <c r="C98" s="41"/>
      <c r="D98" s="42"/>
      <c r="E98" s="52"/>
      <c r="F98" s="53" t="str">
        <f>IF(ISBLANK(E98),"",VLOOKUP(E98,Management!$A$6:$C$20,2,0))</f>
        <v/>
      </c>
      <c r="G98" s="145"/>
      <c r="H98" s="43"/>
      <c r="I98" s="54"/>
      <c r="J98" s="267" t="str">
        <f>IF(ISBLANK(A98),"",IF(OR(ISBLANK(C98),ISBLANK(D98),ISBLANK(G98),ISBLANK(H98),ISBLANK(I98)),"Missing data",H98*VLOOKUP(I98,Ceilings!$J$4:$K$5,2,0)))</f>
        <v/>
      </c>
    </row>
    <row r="99" spans="1:10">
      <c r="A99" s="52"/>
      <c r="B99" s="53" t="str">
        <f>IF(ISBLANK(A99),"",VLOOKUP(A99,Management!$A$6:$C$20,2,0))</f>
        <v/>
      </c>
      <c r="C99" s="41"/>
      <c r="D99" s="42"/>
      <c r="E99" s="52"/>
      <c r="F99" s="53" t="str">
        <f>IF(ISBLANK(E99),"",VLOOKUP(E99,Management!$A$6:$C$20,2,0))</f>
        <v/>
      </c>
      <c r="G99" s="145"/>
      <c r="H99" s="43"/>
      <c r="I99" s="54"/>
      <c r="J99" s="267" t="str">
        <f>IF(ISBLANK(A99),"",IF(OR(ISBLANK(C99),ISBLANK(D99),ISBLANK(G99),ISBLANK(H99),ISBLANK(I99)),"Missing data",H99*VLOOKUP(I99,Ceilings!$J$4:$K$5,2,0)))</f>
        <v/>
      </c>
    </row>
    <row r="100" spans="1:10">
      <c r="A100" s="52"/>
      <c r="B100" s="53" t="str">
        <f>IF(ISBLANK(A100),"",VLOOKUP(A100,Management!$A$6:$C$20,2,0))</f>
        <v/>
      </c>
      <c r="C100" s="41"/>
      <c r="D100" s="42"/>
      <c r="E100" s="52"/>
      <c r="F100" s="53" t="str">
        <f>IF(ISBLANK(E100),"",VLOOKUP(E100,Management!$A$6:$C$20,2,0))</f>
        <v/>
      </c>
      <c r="G100" s="145"/>
      <c r="H100" s="43"/>
      <c r="I100" s="54"/>
      <c r="J100" s="267" t="str">
        <f>IF(ISBLANK(A100),"",IF(OR(ISBLANK(C100),ISBLANK(D100),ISBLANK(G100),ISBLANK(H100),ISBLANK(I100)),"Missing data",H100*VLOOKUP(I100,Ceilings!$J$4:$K$5,2,0)))</f>
        <v/>
      </c>
    </row>
    <row r="101" spans="1:10">
      <c r="A101" s="52"/>
      <c r="B101" s="53" t="str">
        <f>IF(ISBLANK(A101),"",VLOOKUP(A101,Management!$A$6:$C$20,2,0))</f>
        <v/>
      </c>
      <c r="C101" s="41"/>
      <c r="D101" s="42"/>
      <c r="E101" s="52"/>
      <c r="F101" s="53" t="str">
        <f>IF(ISBLANK(E101),"",VLOOKUP(E101,Management!$A$6:$C$20,2,0))</f>
        <v/>
      </c>
      <c r="G101" s="145"/>
      <c r="H101" s="43"/>
      <c r="I101" s="54"/>
      <c r="J101" s="267" t="str">
        <f>IF(ISBLANK(A101),"",IF(OR(ISBLANK(C101),ISBLANK(D101),ISBLANK(G101),ISBLANK(H101),ISBLANK(I101)),"Missing data",H101*VLOOKUP(I101,Ceilings!$J$4:$K$5,2,0)))</f>
        <v/>
      </c>
    </row>
    <row r="102" spans="1:10">
      <c r="A102" s="52"/>
      <c r="B102" s="53" t="str">
        <f>IF(ISBLANK(A102),"",VLOOKUP(A102,Management!$A$6:$C$20,2,0))</f>
        <v/>
      </c>
      <c r="C102" s="41"/>
      <c r="D102" s="42"/>
      <c r="E102" s="52"/>
      <c r="F102" s="53" t="str">
        <f>IF(ISBLANK(E102),"",VLOOKUP(E102,Management!$A$6:$C$20,2,0))</f>
        <v/>
      </c>
      <c r="G102" s="145"/>
      <c r="H102" s="43"/>
      <c r="I102" s="54"/>
      <c r="J102" s="267" t="str">
        <f>IF(ISBLANK(A102),"",IF(OR(ISBLANK(C102),ISBLANK(D102),ISBLANK(G102),ISBLANK(H102),ISBLANK(I102)),"Missing data",H102*VLOOKUP(I102,Ceilings!$J$4:$K$5,2,0)))</f>
        <v/>
      </c>
    </row>
    <row r="103" spans="1:10">
      <c r="A103" s="52"/>
      <c r="B103" s="53" t="str">
        <f>IF(ISBLANK(A103),"",VLOOKUP(A103,Management!$A$6:$C$20,2,0))</f>
        <v/>
      </c>
      <c r="C103" s="41"/>
      <c r="D103" s="42"/>
      <c r="E103" s="52"/>
      <c r="F103" s="53" t="str">
        <f>IF(ISBLANK(E103),"",VLOOKUP(E103,Management!$A$6:$C$20,2,0))</f>
        <v/>
      </c>
      <c r="G103" s="145"/>
      <c r="H103" s="43"/>
      <c r="I103" s="54"/>
      <c r="J103" s="267" t="str">
        <f>IF(ISBLANK(A103),"",IF(OR(ISBLANK(C103),ISBLANK(D103),ISBLANK(G103),ISBLANK(H103),ISBLANK(I103)),"Missing data",H103*VLOOKUP(I103,Ceilings!$J$4:$K$5,2,0)))</f>
        <v/>
      </c>
    </row>
    <row r="104" spans="1:10">
      <c r="A104" s="52"/>
      <c r="B104" s="53" t="str">
        <f>IF(ISBLANK(A104),"",VLOOKUP(A104,Management!$A$6:$C$20,2,0))</f>
        <v/>
      </c>
      <c r="C104" s="41"/>
      <c r="D104" s="42"/>
      <c r="E104" s="52"/>
      <c r="F104" s="53" t="str">
        <f>IF(ISBLANK(E104),"",VLOOKUP(E104,Management!$A$6:$C$20,2,0))</f>
        <v/>
      </c>
      <c r="G104" s="145"/>
      <c r="H104" s="43"/>
      <c r="I104" s="54"/>
      <c r="J104" s="267" t="str">
        <f>IF(ISBLANK(A104),"",IF(OR(ISBLANK(C104),ISBLANK(D104),ISBLANK(G104),ISBLANK(H104),ISBLANK(I104)),"Missing data",H104*VLOOKUP(I104,Ceilings!$J$4:$K$5,2,0)))</f>
        <v/>
      </c>
    </row>
    <row r="105" spans="1:10">
      <c r="A105" s="52"/>
      <c r="B105" s="53" t="str">
        <f>IF(ISBLANK(A105),"",VLOOKUP(A105,Management!$A$6:$C$20,2,0))</f>
        <v/>
      </c>
      <c r="C105" s="41"/>
      <c r="D105" s="42"/>
      <c r="E105" s="52"/>
      <c r="F105" s="53" t="str">
        <f>IF(ISBLANK(E105),"",VLOOKUP(E105,Management!$A$6:$C$20,2,0))</f>
        <v/>
      </c>
      <c r="G105" s="145"/>
      <c r="H105" s="43"/>
      <c r="I105" s="54"/>
      <c r="J105" s="267" t="str">
        <f>IF(ISBLANK(A105),"",IF(OR(ISBLANK(C105),ISBLANK(D105),ISBLANK(G105),ISBLANK(H105),ISBLANK(I105)),"Missing data",H105*VLOOKUP(I105,Ceilings!$J$4:$K$5,2,0)))</f>
        <v/>
      </c>
    </row>
    <row r="106" spans="1:10">
      <c r="A106" s="52"/>
      <c r="B106" s="53" t="str">
        <f>IF(ISBLANK(A106),"",VLOOKUP(A106,Management!$A$6:$C$20,2,0))</f>
        <v/>
      </c>
      <c r="C106" s="41"/>
      <c r="D106" s="42"/>
      <c r="E106" s="52"/>
      <c r="F106" s="53" t="str">
        <f>IF(ISBLANK(E106),"",VLOOKUP(E106,Management!$A$6:$C$20,2,0))</f>
        <v/>
      </c>
      <c r="G106" s="145"/>
      <c r="H106" s="43"/>
      <c r="I106" s="54"/>
      <c r="J106" s="267" t="str">
        <f>IF(ISBLANK(A106),"",IF(OR(ISBLANK(C106),ISBLANK(D106),ISBLANK(G106),ISBLANK(H106),ISBLANK(I106)),"Missing data",H106*VLOOKUP(I106,Ceilings!$J$4:$K$5,2,0)))</f>
        <v/>
      </c>
    </row>
    <row r="107" spans="1:10">
      <c r="A107" s="52"/>
      <c r="B107" s="53" t="str">
        <f>IF(ISBLANK(A107),"",VLOOKUP(A107,Management!$A$6:$C$20,2,0))</f>
        <v/>
      </c>
      <c r="C107" s="41"/>
      <c r="D107" s="42"/>
      <c r="E107" s="52"/>
      <c r="F107" s="53" t="str">
        <f>IF(ISBLANK(E107),"",VLOOKUP(E107,Management!$A$6:$C$20,2,0))</f>
        <v/>
      </c>
      <c r="G107" s="145"/>
      <c r="H107" s="43"/>
      <c r="I107" s="54"/>
      <c r="J107" s="267" t="str">
        <f>IF(ISBLANK(A107),"",IF(OR(ISBLANK(C107),ISBLANK(D107),ISBLANK(G107),ISBLANK(H107),ISBLANK(I107)),"Missing data",H107*VLOOKUP(I107,Ceilings!$J$4:$K$5,2,0)))</f>
        <v/>
      </c>
    </row>
    <row r="108" spans="1:10" ht="13.5" thickBot="1">
      <c r="A108" s="55"/>
      <c r="B108" s="56" t="str">
        <f>IF(ISBLANK(A108),"",VLOOKUP(A108,Management!$A$6:$C$20,2,0))</f>
        <v/>
      </c>
      <c r="C108" s="45"/>
      <c r="D108" s="46"/>
      <c r="E108" s="55"/>
      <c r="F108" s="56" t="str">
        <f>IF(ISBLANK(E108),"",VLOOKUP(E108,Management!$A$6:$C$20,2,0))</f>
        <v/>
      </c>
      <c r="G108" s="146"/>
      <c r="H108" s="47"/>
      <c r="I108" s="57"/>
      <c r="J108" s="268" t="str">
        <f>IF(ISBLANK(A108),"",IF(OR(ISBLANK(C108),ISBLANK(D108),ISBLANK(G108),ISBLANK(H108),ISBLANK(I108)),"Missing data",H108*VLOOKUP(I108,Ceilings!$J$4:$K$5,2,0)))</f>
        <v/>
      </c>
    </row>
    <row r="110" spans="1:10">
      <c r="A110" s="58"/>
      <c r="E110" s="58"/>
    </row>
  </sheetData>
  <sheetProtection password="CF02" sheet="1" objects="1" scenarios="1" sort="0" autoFilter="0"/>
  <mergeCells count="9">
    <mergeCell ref="A4:A5"/>
    <mergeCell ref="D4:D5"/>
    <mergeCell ref="C4:C5"/>
    <mergeCell ref="E4:F4"/>
    <mergeCell ref="J4:J5"/>
    <mergeCell ref="I4:I5"/>
    <mergeCell ref="H4:H5"/>
    <mergeCell ref="B4:B5"/>
    <mergeCell ref="G4:G5"/>
  </mergeCells>
  <phoneticPr fontId="7" type="noConversion"/>
  <conditionalFormatting sqref="J6">
    <cfRule type="expression" dxfId="18" priority="1" stopIfTrue="1">
      <formula>K6&lt;&gt;""</formula>
    </cfRule>
  </conditionalFormatting>
  <dataValidations count="3">
    <dataValidation type="list" allowBlank="1" showInputMessage="1" showErrorMessage="1" sqref="I7:I108">
      <formula1>Distances</formula1>
    </dataValidation>
    <dataValidation type="date" allowBlank="1" showInputMessage="1" showErrorMessage="1" error="Out of project time frame" sqref="G7:G108">
      <formula1>Start</formula1>
      <formula2>End</formula2>
    </dataValidation>
    <dataValidation type="list" allowBlank="1" showInputMessage="1" showErrorMessage="1" sqref="A7:A108 E7:E108">
      <formula1>Partners</formula1>
    </dataValidation>
  </dataValidations>
  <printOptions horizontalCentered="1"/>
  <pageMargins left="0.35433070866141736" right="0.35433070866141736" top="0.59055118110236227" bottom="0.59055118110236227" header="0.31496062992125984" footer="0.31496062992125984"/>
  <pageSetup paperSize="9" scale="98" fitToHeight="0" orientation="landscape" horizontalDpi="4294967292" verticalDpi="4294967292" r:id="rId1"/>
  <headerFooter>
    <oddHeader>&amp;C&amp;11 2016. E+ KA204&amp;RVersion: 2016.01.17. - TKA</oddHeader>
    <oddFooter>&amp;C&amp;"Arial,Félkövér"&amp;A&amp;R&amp;P. oldal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0000"/>
    <pageSetUpPr fitToPage="1"/>
  </sheetPr>
  <dimension ref="A1:Q111"/>
  <sheetViews>
    <sheetView zoomScaleNormal="100" zoomScaleSheetLayoutView="70" workbookViewId="0">
      <selection activeCell="A8" sqref="A8"/>
    </sheetView>
  </sheetViews>
  <sheetFormatPr defaultColWidth="8.85546875" defaultRowHeight="12.75"/>
  <cols>
    <col min="1" max="1" width="6.140625" style="97" customWidth="1"/>
    <col min="2" max="2" width="19.42578125" style="98" customWidth="1"/>
    <col min="3" max="3" width="27.7109375" style="98" customWidth="1"/>
    <col min="4" max="4" width="10.42578125" style="98" customWidth="1"/>
    <col min="5" max="5" width="11.42578125" style="98" bestFit="1" customWidth="1"/>
    <col min="6" max="6" width="11.85546875" style="98" customWidth="1"/>
    <col min="7" max="7" width="8.140625" style="98" bestFit="1" customWidth="1"/>
    <col min="8" max="8" width="10.140625" style="98" customWidth="1"/>
    <col min="9" max="9" width="11.42578125" style="98" customWidth="1"/>
    <col min="10" max="10" width="8.140625" style="98" customWidth="1"/>
    <col min="11" max="11" width="10.7109375" style="98" customWidth="1"/>
    <col min="12" max="12" width="10.140625" style="98" customWidth="1"/>
    <col min="13" max="13" width="7.85546875" style="98" customWidth="1"/>
    <col min="14" max="14" width="10.42578125" style="98" customWidth="1"/>
    <col min="15" max="15" width="11.85546875" style="98" customWidth="1"/>
    <col min="16" max="16" width="8.28515625" style="98" customWidth="1"/>
    <col min="17" max="17" width="10.42578125" style="98" customWidth="1"/>
    <col min="18" max="25" width="15.85546875" style="98" customWidth="1"/>
    <col min="26" max="16384" width="8.85546875" style="98"/>
  </cols>
  <sheetData>
    <row r="1" spans="1:17" s="403" customFormat="1" ht="15.75">
      <c r="A1" s="235" t="s">
        <v>109</v>
      </c>
      <c r="B1" s="236"/>
      <c r="C1" s="236"/>
      <c r="D1" s="402"/>
      <c r="E1" s="402"/>
      <c r="F1" s="402"/>
      <c r="G1" s="402"/>
      <c r="H1" s="402"/>
      <c r="I1" s="402"/>
      <c r="J1" s="402"/>
      <c r="K1" s="402"/>
      <c r="L1" s="402"/>
      <c r="M1" s="402"/>
      <c r="N1" s="402"/>
      <c r="O1" s="402"/>
      <c r="P1" s="402"/>
      <c r="Q1" s="402"/>
    </row>
    <row r="2" spans="1:17" s="403" customFormat="1" ht="16.5" thickBot="1">
      <c r="A2" s="238" t="s">
        <v>0</v>
      </c>
      <c r="B2" s="239"/>
      <c r="C2" s="239"/>
      <c r="D2" s="402"/>
      <c r="E2" s="402"/>
      <c r="F2" s="218"/>
      <c r="G2" s="219"/>
      <c r="H2" s="219"/>
      <c r="I2" s="219"/>
      <c r="J2" s="219"/>
      <c r="K2" s="219"/>
      <c r="L2" s="219"/>
      <c r="M2" s="219"/>
      <c r="N2" s="219"/>
      <c r="O2" s="219"/>
      <c r="P2" s="219"/>
      <c r="Q2" s="219"/>
    </row>
    <row r="3" spans="1:17" s="451" customFormat="1" ht="13.5" thickBot="1">
      <c r="A3" s="449" t="s">
        <v>1</v>
      </c>
      <c r="B3" s="450"/>
      <c r="C3" s="450"/>
      <c r="D3" s="404"/>
      <c r="E3" s="404"/>
      <c r="F3" s="493" t="s">
        <v>37</v>
      </c>
      <c r="G3" s="494"/>
      <c r="H3" s="494"/>
      <c r="I3" s="494"/>
      <c r="J3" s="494"/>
      <c r="K3" s="494"/>
      <c r="L3" s="494"/>
      <c r="M3" s="494"/>
      <c r="N3" s="494"/>
      <c r="O3" s="494"/>
      <c r="P3" s="494"/>
      <c r="Q3" s="495"/>
    </row>
    <row r="4" spans="1:17" s="106" customFormat="1" ht="24.75" customHeight="1">
      <c r="A4" s="499" t="s">
        <v>319</v>
      </c>
      <c r="B4" s="501" t="s">
        <v>32</v>
      </c>
      <c r="C4" s="503" t="s">
        <v>432</v>
      </c>
      <c r="D4" s="499" t="s">
        <v>38</v>
      </c>
      <c r="E4" s="499" t="s">
        <v>147</v>
      </c>
      <c r="F4" s="496" t="s">
        <v>34</v>
      </c>
      <c r="G4" s="497"/>
      <c r="H4" s="497"/>
      <c r="I4" s="497" t="s">
        <v>485</v>
      </c>
      <c r="J4" s="497"/>
      <c r="K4" s="497"/>
      <c r="L4" s="497" t="s">
        <v>3</v>
      </c>
      <c r="M4" s="497"/>
      <c r="N4" s="497"/>
      <c r="O4" s="497" t="s">
        <v>4</v>
      </c>
      <c r="P4" s="497"/>
      <c r="Q4" s="498"/>
    </row>
    <row r="5" spans="1:17" s="106" customFormat="1" ht="39" thickBot="1">
      <c r="A5" s="500"/>
      <c r="B5" s="502"/>
      <c r="C5" s="504"/>
      <c r="D5" s="500"/>
      <c r="E5" s="500"/>
      <c r="F5" s="405" t="s">
        <v>128</v>
      </c>
      <c r="G5" s="406" t="s">
        <v>33</v>
      </c>
      <c r="H5" s="407" t="s">
        <v>110</v>
      </c>
      <c r="I5" s="407" t="s">
        <v>128</v>
      </c>
      <c r="J5" s="406" t="s">
        <v>33</v>
      </c>
      <c r="K5" s="407" t="s">
        <v>110</v>
      </c>
      <c r="L5" s="407" t="s">
        <v>128</v>
      </c>
      <c r="M5" s="406" t="s">
        <v>33</v>
      </c>
      <c r="N5" s="407" t="s">
        <v>110</v>
      </c>
      <c r="O5" s="407" t="s">
        <v>128</v>
      </c>
      <c r="P5" s="406" t="s">
        <v>33</v>
      </c>
      <c r="Q5" s="408" t="s">
        <v>110</v>
      </c>
    </row>
    <row r="6" spans="1:17">
      <c r="A6" s="409"/>
      <c r="B6" s="410"/>
      <c r="C6" s="411" t="s">
        <v>330</v>
      </c>
      <c r="D6" s="270">
        <f>SUM(D8:D109)</f>
        <v>0</v>
      </c>
      <c r="E6" s="412"/>
      <c r="F6" s="280">
        <f>SUM(F8:F109)</f>
        <v>0</v>
      </c>
      <c r="G6" s="413"/>
      <c r="H6" s="413"/>
      <c r="I6" s="414">
        <f>SUM(I8:I109)</f>
        <v>0</v>
      </c>
      <c r="J6" s="413"/>
      <c r="K6" s="413"/>
      <c r="L6" s="414">
        <f>SUM(L8:L109)</f>
        <v>0</v>
      </c>
      <c r="M6" s="413"/>
      <c r="N6" s="413"/>
      <c r="O6" s="414">
        <f>SUM(O8:O109)</f>
        <v>0</v>
      </c>
      <c r="P6" s="413"/>
      <c r="Q6" s="415"/>
    </row>
    <row r="7" spans="1:17" s="425" customFormat="1" ht="13.5" thickBot="1">
      <c r="A7" s="416"/>
      <c r="B7" s="417"/>
      <c r="C7" s="418" t="s">
        <v>331</v>
      </c>
      <c r="D7" s="419"/>
      <c r="E7" s="420">
        <f>SUM(E8:E109)</f>
        <v>0</v>
      </c>
      <c r="F7" s="421"/>
      <c r="G7" s="422"/>
      <c r="H7" s="423">
        <f>SUM(H8:H81)</f>
        <v>0</v>
      </c>
      <c r="I7" s="422"/>
      <c r="J7" s="422"/>
      <c r="K7" s="423">
        <f>SUM(K8:K81)</f>
        <v>0</v>
      </c>
      <c r="L7" s="422"/>
      <c r="M7" s="422"/>
      <c r="N7" s="423">
        <f>SUM(N8:N81)</f>
        <v>0</v>
      </c>
      <c r="O7" s="422"/>
      <c r="P7" s="422"/>
      <c r="Q7" s="424">
        <f>SUM(Q8:Q81)</f>
        <v>0</v>
      </c>
    </row>
    <row r="8" spans="1:17">
      <c r="A8" s="426"/>
      <c r="B8" s="427" t="str">
        <f>IF(ISBLANK(A8),"",VLOOKUP(A8,Management!$A$6:$C$20,2,0))</f>
        <v/>
      </c>
      <c r="C8" s="428"/>
      <c r="D8" s="270" t="str">
        <f>IF(ISBLANK(A8),"",SUM(F8,I8,L8,O8))</f>
        <v/>
      </c>
      <c r="E8" s="429" t="str">
        <f>IF(ISBLANK(A8),"",IF(ISBLANK(C8),"Missing data",SUM(H8,K8,N8,Q8)))</f>
        <v/>
      </c>
      <c r="F8" s="430"/>
      <c r="G8" s="431" t="str">
        <f>IF(ISBLANK(A8),"",VLOOKUP(B8,Ceilings!$A$4:$F$206,3,0))</f>
        <v/>
      </c>
      <c r="H8" s="431" t="str">
        <f>IF(ISBLANK($A8),"",F8*G8)</f>
        <v/>
      </c>
      <c r="I8" s="432"/>
      <c r="J8" s="431" t="str">
        <f>IF(ISBLANK(A8),"",VLOOKUP(B8,Ceilings!$A$4:$F$206,4,0))</f>
        <v/>
      </c>
      <c r="K8" s="431" t="str">
        <f>IF(ISBLANK($A8),"",I8*J8)</f>
        <v/>
      </c>
      <c r="L8" s="432"/>
      <c r="M8" s="431" t="str">
        <f>IF(ISBLANK(A8),"",VLOOKUP(B8,Ceilings!$A$4:$F$206,5,0))</f>
        <v/>
      </c>
      <c r="N8" s="431" t="str">
        <f>IF(ISBLANK($A8),"",L8*M8)</f>
        <v/>
      </c>
      <c r="O8" s="432"/>
      <c r="P8" s="431" t="str">
        <f>IF(ISBLANK(A8),"",VLOOKUP(B8,Ceilings!$A$4:$F$206,6,0))</f>
        <v/>
      </c>
      <c r="Q8" s="433" t="str">
        <f>IF(ISBLANK($A8),"",O8*P8)</f>
        <v/>
      </c>
    </row>
    <row r="9" spans="1:17">
      <c r="A9" s="434"/>
      <c r="B9" s="435" t="str">
        <f>IF(ISBLANK(A9),"",VLOOKUP(A9,Management!$A$6:$C$20,2,0))</f>
        <v/>
      </c>
      <c r="C9" s="436"/>
      <c r="D9" s="116" t="str">
        <f t="shared" ref="D9:D72" si="0">IF(ISBLANK(A9),"",SUM(F9,I9,L9,O9))</f>
        <v/>
      </c>
      <c r="E9" s="437" t="str">
        <f t="shared" ref="E9:E72" si="1">IF(ISBLANK(A9),"",IF(ISBLANK(C9),"Missing data",SUM(H9,K9,N9,Q9)))</f>
        <v/>
      </c>
      <c r="F9" s="438"/>
      <c r="G9" s="439" t="str">
        <f>IF(ISBLANK(A9),"",VLOOKUP(B9,Ceilings!$A$4:$F$206,3,0))</f>
        <v/>
      </c>
      <c r="H9" s="439" t="str">
        <f t="shared" ref="H9:H72" si="2">IF(ISBLANK($A9),"",F9*G9)</f>
        <v/>
      </c>
      <c r="I9" s="440"/>
      <c r="J9" s="439" t="str">
        <f>IF(ISBLANK(A9),"",VLOOKUP(B9,Ceilings!$A$4:$F$206,4,0))</f>
        <v/>
      </c>
      <c r="K9" s="439" t="str">
        <f t="shared" ref="K9:K72" si="3">IF(ISBLANK($A9),"",I9*J9)</f>
        <v/>
      </c>
      <c r="L9" s="440"/>
      <c r="M9" s="439" t="str">
        <f>IF(ISBLANK(A9),"",VLOOKUP(B9,Ceilings!$A$4:$F$206,5,0))</f>
        <v/>
      </c>
      <c r="N9" s="439" t="str">
        <f t="shared" ref="N9:N72" si="4">IF(ISBLANK($A9),"",L9*M9)</f>
        <v/>
      </c>
      <c r="O9" s="440"/>
      <c r="P9" s="439" t="str">
        <f>IF(ISBLANK(A9),"",VLOOKUP(B9,Ceilings!$A$4:$F$206,6,0))</f>
        <v/>
      </c>
      <c r="Q9" s="282" t="str">
        <f t="shared" ref="Q9:Q72" si="5">IF(ISBLANK($A9),"",O9*P9)</f>
        <v/>
      </c>
    </row>
    <row r="10" spans="1:17">
      <c r="A10" s="434"/>
      <c r="B10" s="435" t="str">
        <f>IF(ISBLANK(A10),"",VLOOKUP(A10,Management!$A$6:$C$20,2,0))</f>
        <v/>
      </c>
      <c r="C10" s="436"/>
      <c r="D10" s="116" t="str">
        <f t="shared" si="0"/>
        <v/>
      </c>
      <c r="E10" s="437" t="str">
        <f t="shared" si="1"/>
        <v/>
      </c>
      <c r="F10" s="438"/>
      <c r="G10" s="439" t="str">
        <f>IF(ISBLANK(A10),"",VLOOKUP(B10,Ceilings!$A$4:$F$206,3,0))</f>
        <v/>
      </c>
      <c r="H10" s="439" t="str">
        <f t="shared" si="2"/>
        <v/>
      </c>
      <c r="I10" s="440"/>
      <c r="J10" s="439" t="str">
        <f>IF(ISBLANK(A10),"",VLOOKUP(B10,Ceilings!$A$4:$F$206,4,0))</f>
        <v/>
      </c>
      <c r="K10" s="439" t="str">
        <f t="shared" si="3"/>
        <v/>
      </c>
      <c r="L10" s="440"/>
      <c r="M10" s="439" t="str">
        <f>IF(ISBLANK(A10),"",VLOOKUP(B10,Ceilings!$A$4:$F$206,5,0))</f>
        <v/>
      </c>
      <c r="N10" s="439" t="str">
        <f t="shared" si="4"/>
        <v/>
      </c>
      <c r="O10" s="440"/>
      <c r="P10" s="439" t="str">
        <f>IF(ISBLANK(A10),"",VLOOKUP(B10,Ceilings!$A$4:$F$206,6,0))</f>
        <v/>
      </c>
      <c r="Q10" s="282" t="str">
        <f t="shared" si="5"/>
        <v/>
      </c>
    </row>
    <row r="11" spans="1:17">
      <c r="A11" s="434"/>
      <c r="B11" s="435" t="str">
        <f>IF(ISBLANK(A11),"",VLOOKUP(A11,Management!$A$6:$C$20,2,0))</f>
        <v/>
      </c>
      <c r="C11" s="436"/>
      <c r="D11" s="116" t="str">
        <f t="shared" si="0"/>
        <v/>
      </c>
      <c r="E11" s="437" t="str">
        <f t="shared" si="1"/>
        <v/>
      </c>
      <c r="F11" s="438"/>
      <c r="G11" s="439" t="str">
        <f>IF(ISBLANK(A11),"",VLOOKUP(B11,Ceilings!$A$4:$F$206,3,0))</f>
        <v/>
      </c>
      <c r="H11" s="439" t="str">
        <f t="shared" si="2"/>
        <v/>
      </c>
      <c r="I11" s="440"/>
      <c r="J11" s="439" t="str">
        <f>IF(ISBLANK(A11),"",VLOOKUP(B11,Ceilings!$A$4:$F$206,4,0))</f>
        <v/>
      </c>
      <c r="K11" s="439" t="str">
        <f t="shared" si="3"/>
        <v/>
      </c>
      <c r="L11" s="440"/>
      <c r="M11" s="439" t="str">
        <f>IF(ISBLANK(A11),"",VLOOKUP(B11,Ceilings!$A$4:$F$206,5,0))</f>
        <v/>
      </c>
      <c r="N11" s="439" t="str">
        <f t="shared" si="4"/>
        <v/>
      </c>
      <c r="O11" s="440"/>
      <c r="P11" s="439" t="str">
        <f>IF(ISBLANK(A11),"",VLOOKUP(B11,Ceilings!$A$4:$F$206,6,0))</f>
        <v/>
      </c>
      <c r="Q11" s="282" t="str">
        <f t="shared" si="5"/>
        <v/>
      </c>
    </row>
    <row r="12" spans="1:17">
      <c r="A12" s="434"/>
      <c r="B12" s="435" t="str">
        <f>IF(ISBLANK(A12),"",VLOOKUP(A12,Management!$A$6:$C$20,2,0))</f>
        <v/>
      </c>
      <c r="C12" s="441"/>
      <c r="D12" s="116" t="str">
        <f t="shared" si="0"/>
        <v/>
      </c>
      <c r="E12" s="437" t="str">
        <f t="shared" si="1"/>
        <v/>
      </c>
      <c r="F12" s="438"/>
      <c r="G12" s="439" t="str">
        <f>IF(ISBLANK(A12),"",VLOOKUP(B12,Ceilings!$A$4:$F$206,3,0))</f>
        <v/>
      </c>
      <c r="H12" s="439" t="str">
        <f t="shared" si="2"/>
        <v/>
      </c>
      <c r="I12" s="440"/>
      <c r="J12" s="439" t="str">
        <f>IF(ISBLANK(A12),"",VLOOKUP(B12,Ceilings!$A$4:$F$206,4,0))</f>
        <v/>
      </c>
      <c r="K12" s="439" t="str">
        <f t="shared" si="3"/>
        <v/>
      </c>
      <c r="L12" s="440"/>
      <c r="M12" s="439" t="str">
        <f>IF(ISBLANK(A12),"",VLOOKUP(B12,Ceilings!$A$4:$F$206,5,0))</f>
        <v/>
      </c>
      <c r="N12" s="439" t="str">
        <f t="shared" si="4"/>
        <v/>
      </c>
      <c r="O12" s="440"/>
      <c r="P12" s="439" t="str">
        <f>IF(ISBLANK(A12),"",VLOOKUP(B12,Ceilings!$A$4:$F$206,6,0))</f>
        <v/>
      </c>
      <c r="Q12" s="282" t="str">
        <f t="shared" si="5"/>
        <v/>
      </c>
    </row>
    <row r="13" spans="1:17">
      <c r="A13" s="434"/>
      <c r="B13" s="435" t="str">
        <f>IF(ISBLANK(A13),"",VLOOKUP(A13,Management!$A$6:$C$20,2,0))</f>
        <v/>
      </c>
      <c r="C13" s="436"/>
      <c r="D13" s="116" t="str">
        <f t="shared" si="0"/>
        <v/>
      </c>
      <c r="E13" s="437" t="str">
        <f t="shared" si="1"/>
        <v/>
      </c>
      <c r="F13" s="438"/>
      <c r="G13" s="439" t="str">
        <f>IF(ISBLANK(A13),"",VLOOKUP(B13,Ceilings!$A$4:$F$206,3,0))</f>
        <v/>
      </c>
      <c r="H13" s="439" t="str">
        <f t="shared" si="2"/>
        <v/>
      </c>
      <c r="I13" s="440"/>
      <c r="J13" s="439" t="str">
        <f>IF(ISBLANK(A13),"",VLOOKUP(B13,Ceilings!$A$4:$F$206,4,0))</f>
        <v/>
      </c>
      <c r="K13" s="439" t="str">
        <f t="shared" si="3"/>
        <v/>
      </c>
      <c r="L13" s="440"/>
      <c r="M13" s="439" t="str">
        <f>IF(ISBLANK(A13),"",VLOOKUP(B13,Ceilings!$A$4:$F$206,5,0))</f>
        <v/>
      </c>
      <c r="N13" s="439" t="str">
        <f t="shared" si="4"/>
        <v/>
      </c>
      <c r="O13" s="440"/>
      <c r="P13" s="439" t="str">
        <f>IF(ISBLANK(A13),"",VLOOKUP(B13,Ceilings!$A$4:$F$206,6,0))</f>
        <v/>
      </c>
      <c r="Q13" s="282" t="str">
        <f t="shared" si="5"/>
        <v/>
      </c>
    </row>
    <row r="14" spans="1:17">
      <c r="A14" s="434"/>
      <c r="B14" s="435" t="str">
        <f>IF(ISBLANK(A14),"",VLOOKUP(A14,Management!$A$6:$C$20,2,0))</f>
        <v/>
      </c>
      <c r="C14" s="436"/>
      <c r="D14" s="116" t="str">
        <f t="shared" si="0"/>
        <v/>
      </c>
      <c r="E14" s="437" t="str">
        <f t="shared" si="1"/>
        <v/>
      </c>
      <c r="F14" s="438"/>
      <c r="G14" s="439" t="str">
        <f>IF(ISBLANK(A14),"",VLOOKUP(B14,Ceilings!$A$4:$F$206,3,0))</f>
        <v/>
      </c>
      <c r="H14" s="439" t="str">
        <f t="shared" si="2"/>
        <v/>
      </c>
      <c r="I14" s="440"/>
      <c r="J14" s="439" t="str">
        <f>IF(ISBLANK(A14),"",VLOOKUP(B14,Ceilings!$A$4:$F$206,4,0))</f>
        <v/>
      </c>
      <c r="K14" s="439" t="str">
        <f t="shared" si="3"/>
        <v/>
      </c>
      <c r="L14" s="440"/>
      <c r="M14" s="439" t="str">
        <f>IF(ISBLANK(A14),"",VLOOKUP(B14,Ceilings!$A$4:$F$206,5,0))</f>
        <v/>
      </c>
      <c r="N14" s="439" t="str">
        <f t="shared" si="4"/>
        <v/>
      </c>
      <c r="O14" s="440"/>
      <c r="P14" s="439" t="str">
        <f>IF(ISBLANK(A14),"",VLOOKUP(B14,Ceilings!$A$4:$F$206,6,0))</f>
        <v/>
      </c>
      <c r="Q14" s="282" t="str">
        <f t="shared" si="5"/>
        <v/>
      </c>
    </row>
    <row r="15" spans="1:17">
      <c r="A15" s="434"/>
      <c r="B15" s="435" t="str">
        <f>IF(ISBLANK(A15),"",VLOOKUP(A15,Management!$A$6:$C$20,2,0))</f>
        <v/>
      </c>
      <c r="C15" s="436"/>
      <c r="D15" s="116" t="str">
        <f t="shared" si="0"/>
        <v/>
      </c>
      <c r="E15" s="437" t="str">
        <f t="shared" si="1"/>
        <v/>
      </c>
      <c r="F15" s="438"/>
      <c r="G15" s="439" t="str">
        <f>IF(ISBLANK(A15),"",VLOOKUP(B15,Ceilings!$A$4:$F$206,3,0))</f>
        <v/>
      </c>
      <c r="H15" s="439" t="str">
        <f t="shared" si="2"/>
        <v/>
      </c>
      <c r="I15" s="440"/>
      <c r="J15" s="439" t="str">
        <f>IF(ISBLANK(A15),"",VLOOKUP(B15,Ceilings!$A$4:$F$206,4,0))</f>
        <v/>
      </c>
      <c r="K15" s="439" t="str">
        <f t="shared" si="3"/>
        <v/>
      </c>
      <c r="L15" s="440"/>
      <c r="M15" s="439" t="str">
        <f>IF(ISBLANK(A15),"",VLOOKUP(B15,Ceilings!$A$4:$F$206,5,0))</f>
        <v/>
      </c>
      <c r="N15" s="439" t="str">
        <f t="shared" si="4"/>
        <v/>
      </c>
      <c r="O15" s="440"/>
      <c r="P15" s="439" t="str">
        <f>IF(ISBLANK(A15),"",VLOOKUP(B15,Ceilings!$A$4:$F$206,6,0))</f>
        <v/>
      </c>
      <c r="Q15" s="282" t="str">
        <f t="shared" si="5"/>
        <v/>
      </c>
    </row>
    <row r="16" spans="1:17">
      <c r="A16" s="434"/>
      <c r="B16" s="435" t="str">
        <f>IF(ISBLANK(A16),"",VLOOKUP(A16,Management!$A$6:$C$20,2,0))</f>
        <v/>
      </c>
      <c r="C16" s="441"/>
      <c r="D16" s="116" t="str">
        <f t="shared" si="0"/>
        <v/>
      </c>
      <c r="E16" s="437" t="str">
        <f t="shared" si="1"/>
        <v/>
      </c>
      <c r="F16" s="438"/>
      <c r="G16" s="439" t="str">
        <f>IF(ISBLANK(A16),"",VLOOKUP(B16,Ceilings!$A$4:$F$206,3,0))</f>
        <v/>
      </c>
      <c r="H16" s="439" t="str">
        <f t="shared" si="2"/>
        <v/>
      </c>
      <c r="I16" s="440"/>
      <c r="J16" s="439" t="str">
        <f>IF(ISBLANK(A16),"",VLOOKUP(B16,Ceilings!$A$4:$F$206,4,0))</f>
        <v/>
      </c>
      <c r="K16" s="439" t="str">
        <f t="shared" si="3"/>
        <v/>
      </c>
      <c r="L16" s="440"/>
      <c r="M16" s="439" t="str">
        <f>IF(ISBLANK(A16),"",VLOOKUP(B16,Ceilings!$A$4:$F$206,5,0))</f>
        <v/>
      </c>
      <c r="N16" s="439" t="str">
        <f t="shared" si="4"/>
        <v/>
      </c>
      <c r="O16" s="440"/>
      <c r="P16" s="439" t="str">
        <f>IF(ISBLANK(A16),"",VLOOKUP(B16,Ceilings!$A$4:$F$206,6,0))</f>
        <v/>
      </c>
      <c r="Q16" s="282" t="str">
        <f t="shared" si="5"/>
        <v/>
      </c>
    </row>
    <row r="17" spans="1:17">
      <c r="A17" s="434"/>
      <c r="B17" s="435" t="str">
        <f>IF(ISBLANK(A17),"",VLOOKUP(A17,Management!$A$6:$C$20,2,0))</f>
        <v/>
      </c>
      <c r="C17" s="436"/>
      <c r="D17" s="116" t="str">
        <f t="shared" si="0"/>
        <v/>
      </c>
      <c r="E17" s="437" t="str">
        <f t="shared" si="1"/>
        <v/>
      </c>
      <c r="F17" s="438"/>
      <c r="G17" s="439" t="str">
        <f>IF(ISBLANK(A17),"",VLOOKUP(B17,Ceilings!$A$4:$F$206,3,0))</f>
        <v/>
      </c>
      <c r="H17" s="439" t="str">
        <f t="shared" si="2"/>
        <v/>
      </c>
      <c r="I17" s="440"/>
      <c r="J17" s="439" t="str">
        <f>IF(ISBLANK(A17),"",VLOOKUP(B17,Ceilings!$A$4:$F$206,4,0))</f>
        <v/>
      </c>
      <c r="K17" s="439" t="str">
        <f t="shared" si="3"/>
        <v/>
      </c>
      <c r="L17" s="440"/>
      <c r="M17" s="439" t="str">
        <f>IF(ISBLANK(A17),"",VLOOKUP(B17,Ceilings!$A$4:$F$206,5,0))</f>
        <v/>
      </c>
      <c r="N17" s="439" t="str">
        <f t="shared" si="4"/>
        <v/>
      </c>
      <c r="O17" s="440"/>
      <c r="P17" s="439" t="str">
        <f>IF(ISBLANK(A17),"",VLOOKUP(B17,Ceilings!$A$4:$F$206,6,0))</f>
        <v/>
      </c>
      <c r="Q17" s="282" t="str">
        <f t="shared" si="5"/>
        <v/>
      </c>
    </row>
    <row r="18" spans="1:17">
      <c r="A18" s="434"/>
      <c r="B18" s="435" t="str">
        <f>IF(ISBLANK(A18),"",VLOOKUP(A18,Management!$A$6:$C$20,2,0))</f>
        <v/>
      </c>
      <c r="C18" s="436"/>
      <c r="D18" s="116" t="str">
        <f t="shared" si="0"/>
        <v/>
      </c>
      <c r="E18" s="437" t="str">
        <f t="shared" si="1"/>
        <v/>
      </c>
      <c r="F18" s="438"/>
      <c r="G18" s="439" t="str">
        <f>IF(ISBLANK(A18),"",VLOOKUP(B18,Ceilings!$A$4:$F$206,3,0))</f>
        <v/>
      </c>
      <c r="H18" s="439" t="str">
        <f t="shared" si="2"/>
        <v/>
      </c>
      <c r="I18" s="440"/>
      <c r="J18" s="439" t="str">
        <f>IF(ISBLANK(A18),"",VLOOKUP(B18,Ceilings!$A$4:$F$206,4,0))</f>
        <v/>
      </c>
      <c r="K18" s="439" t="str">
        <f t="shared" si="3"/>
        <v/>
      </c>
      <c r="L18" s="440"/>
      <c r="M18" s="439" t="str">
        <f>IF(ISBLANK(A18),"",VLOOKUP(B18,Ceilings!$A$4:$F$206,5,0))</f>
        <v/>
      </c>
      <c r="N18" s="439" t="str">
        <f t="shared" si="4"/>
        <v/>
      </c>
      <c r="O18" s="440"/>
      <c r="P18" s="439" t="str">
        <f>IF(ISBLANK(A18),"",VLOOKUP(B18,Ceilings!$A$4:$F$206,6,0))</f>
        <v/>
      </c>
      <c r="Q18" s="282" t="str">
        <f t="shared" si="5"/>
        <v/>
      </c>
    </row>
    <row r="19" spans="1:17">
      <c r="A19" s="434"/>
      <c r="B19" s="435" t="str">
        <f>IF(ISBLANK(A19),"",VLOOKUP(A19,Management!$A$6:$C$20,2,0))</f>
        <v/>
      </c>
      <c r="C19" s="436"/>
      <c r="D19" s="116" t="str">
        <f t="shared" si="0"/>
        <v/>
      </c>
      <c r="E19" s="437" t="str">
        <f t="shared" si="1"/>
        <v/>
      </c>
      <c r="F19" s="438"/>
      <c r="G19" s="439" t="str">
        <f>IF(ISBLANK(A19),"",VLOOKUP(B19,Ceilings!$A$4:$F$206,3,0))</f>
        <v/>
      </c>
      <c r="H19" s="439" t="str">
        <f t="shared" si="2"/>
        <v/>
      </c>
      <c r="I19" s="440"/>
      <c r="J19" s="439" t="str">
        <f>IF(ISBLANK(A19),"",VLOOKUP(B19,Ceilings!$A$4:$F$206,4,0))</f>
        <v/>
      </c>
      <c r="K19" s="439" t="str">
        <f t="shared" si="3"/>
        <v/>
      </c>
      <c r="L19" s="440"/>
      <c r="M19" s="439" t="str">
        <f>IF(ISBLANK(A19),"",VLOOKUP(B19,Ceilings!$A$4:$F$206,5,0))</f>
        <v/>
      </c>
      <c r="N19" s="439" t="str">
        <f t="shared" si="4"/>
        <v/>
      </c>
      <c r="O19" s="440"/>
      <c r="P19" s="439" t="str">
        <f>IF(ISBLANK(A19),"",VLOOKUP(B19,Ceilings!$A$4:$F$206,6,0))</f>
        <v/>
      </c>
      <c r="Q19" s="282" t="str">
        <f t="shared" si="5"/>
        <v/>
      </c>
    </row>
    <row r="20" spans="1:17">
      <c r="A20" s="434"/>
      <c r="B20" s="435" t="str">
        <f>IF(ISBLANK(A20),"",VLOOKUP(A20,Management!$A$6:$C$20,2,0))</f>
        <v/>
      </c>
      <c r="C20" s="436"/>
      <c r="D20" s="116" t="str">
        <f t="shared" si="0"/>
        <v/>
      </c>
      <c r="E20" s="437" t="str">
        <f t="shared" si="1"/>
        <v/>
      </c>
      <c r="F20" s="438"/>
      <c r="G20" s="439" t="str">
        <f>IF(ISBLANK(A20),"",VLOOKUP(B20,Ceilings!$A$4:$F$206,3,0))</f>
        <v/>
      </c>
      <c r="H20" s="439" t="str">
        <f t="shared" si="2"/>
        <v/>
      </c>
      <c r="I20" s="440"/>
      <c r="J20" s="439" t="str">
        <f>IF(ISBLANK(A20),"",VLOOKUP(B20,Ceilings!$A$4:$F$206,4,0))</f>
        <v/>
      </c>
      <c r="K20" s="439" t="str">
        <f t="shared" si="3"/>
        <v/>
      </c>
      <c r="L20" s="440"/>
      <c r="M20" s="439" t="str">
        <f>IF(ISBLANK(A20),"",VLOOKUP(B20,Ceilings!$A$4:$F$206,5,0))</f>
        <v/>
      </c>
      <c r="N20" s="439" t="str">
        <f t="shared" si="4"/>
        <v/>
      </c>
      <c r="O20" s="440"/>
      <c r="P20" s="439" t="str">
        <f>IF(ISBLANK(A20),"",VLOOKUP(B20,Ceilings!$A$4:$F$206,6,0))</f>
        <v/>
      </c>
      <c r="Q20" s="282" t="str">
        <f t="shared" si="5"/>
        <v/>
      </c>
    </row>
    <row r="21" spans="1:17">
      <c r="A21" s="434"/>
      <c r="B21" s="435" t="str">
        <f>IF(ISBLANK(A21),"",VLOOKUP(A21,Management!$A$6:$C$20,2,0))</f>
        <v/>
      </c>
      <c r="C21" s="436"/>
      <c r="D21" s="116" t="str">
        <f t="shared" si="0"/>
        <v/>
      </c>
      <c r="E21" s="437" t="str">
        <f t="shared" si="1"/>
        <v/>
      </c>
      <c r="F21" s="438"/>
      <c r="G21" s="439" t="str">
        <f>IF(ISBLANK(A21),"",VLOOKUP(B21,Ceilings!$A$4:$F$206,3,0))</f>
        <v/>
      </c>
      <c r="H21" s="439" t="str">
        <f t="shared" si="2"/>
        <v/>
      </c>
      <c r="I21" s="440"/>
      <c r="J21" s="439" t="str">
        <f>IF(ISBLANK(A21),"",VLOOKUP(B21,Ceilings!$A$4:$F$206,4,0))</f>
        <v/>
      </c>
      <c r="K21" s="439" t="str">
        <f t="shared" si="3"/>
        <v/>
      </c>
      <c r="L21" s="440"/>
      <c r="M21" s="439" t="str">
        <f>IF(ISBLANK(A21),"",VLOOKUP(B21,Ceilings!$A$4:$F$206,5,0))</f>
        <v/>
      </c>
      <c r="N21" s="439" t="str">
        <f t="shared" si="4"/>
        <v/>
      </c>
      <c r="O21" s="440"/>
      <c r="P21" s="439" t="str">
        <f>IF(ISBLANK(A21),"",VLOOKUP(B21,Ceilings!$A$4:$F$206,6,0))</f>
        <v/>
      </c>
      <c r="Q21" s="282" t="str">
        <f t="shared" si="5"/>
        <v/>
      </c>
    </row>
    <row r="22" spans="1:17">
      <c r="A22" s="434"/>
      <c r="B22" s="435" t="str">
        <f>IF(ISBLANK(A22),"",VLOOKUP(A22,Management!$A$6:$C$20,2,0))</f>
        <v/>
      </c>
      <c r="C22" s="436"/>
      <c r="D22" s="116" t="str">
        <f t="shared" si="0"/>
        <v/>
      </c>
      <c r="E22" s="437" t="str">
        <f t="shared" si="1"/>
        <v/>
      </c>
      <c r="F22" s="438"/>
      <c r="G22" s="439" t="str">
        <f>IF(ISBLANK(A22),"",VLOOKUP(B22,Ceilings!$A$4:$F$206,3,0))</f>
        <v/>
      </c>
      <c r="H22" s="439" t="str">
        <f t="shared" si="2"/>
        <v/>
      </c>
      <c r="I22" s="440"/>
      <c r="J22" s="439" t="str">
        <f>IF(ISBLANK(A22),"",VLOOKUP(B22,Ceilings!$A$4:$F$206,4,0))</f>
        <v/>
      </c>
      <c r="K22" s="439" t="str">
        <f t="shared" si="3"/>
        <v/>
      </c>
      <c r="L22" s="440"/>
      <c r="M22" s="439" t="str">
        <f>IF(ISBLANK(A22),"",VLOOKUP(B22,Ceilings!$A$4:$F$206,5,0))</f>
        <v/>
      </c>
      <c r="N22" s="439" t="str">
        <f t="shared" si="4"/>
        <v/>
      </c>
      <c r="O22" s="440"/>
      <c r="P22" s="439" t="str">
        <f>IF(ISBLANK(A22),"",VLOOKUP(B22,Ceilings!$A$4:$F$206,6,0))</f>
        <v/>
      </c>
      <c r="Q22" s="282" t="str">
        <f t="shared" si="5"/>
        <v/>
      </c>
    </row>
    <row r="23" spans="1:17">
      <c r="A23" s="434"/>
      <c r="B23" s="435" t="str">
        <f>IF(ISBLANK(A23),"",VLOOKUP(A23,Management!$A$6:$C$20,2,0))</f>
        <v/>
      </c>
      <c r="C23" s="436"/>
      <c r="D23" s="116" t="str">
        <f t="shared" si="0"/>
        <v/>
      </c>
      <c r="E23" s="437" t="str">
        <f t="shared" si="1"/>
        <v/>
      </c>
      <c r="F23" s="438"/>
      <c r="G23" s="439" t="str">
        <f>IF(ISBLANK(A23),"",VLOOKUP(B23,Ceilings!$A$4:$F$206,3,0))</f>
        <v/>
      </c>
      <c r="H23" s="439" t="str">
        <f t="shared" si="2"/>
        <v/>
      </c>
      <c r="I23" s="440"/>
      <c r="J23" s="439" t="str">
        <f>IF(ISBLANK(A23),"",VLOOKUP(B23,Ceilings!$A$4:$F$206,4,0))</f>
        <v/>
      </c>
      <c r="K23" s="439" t="str">
        <f t="shared" si="3"/>
        <v/>
      </c>
      <c r="L23" s="440"/>
      <c r="M23" s="439" t="str">
        <f>IF(ISBLANK(A23),"",VLOOKUP(B23,Ceilings!$A$4:$F$206,5,0))</f>
        <v/>
      </c>
      <c r="N23" s="439" t="str">
        <f t="shared" si="4"/>
        <v/>
      </c>
      <c r="O23" s="440"/>
      <c r="P23" s="439" t="str">
        <f>IF(ISBLANK(A23),"",VLOOKUP(B23,Ceilings!$A$4:$F$206,6,0))</f>
        <v/>
      </c>
      <c r="Q23" s="282" t="str">
        <f t="shared" si="5"/>
        <v/>
      </c>
    </row>
    <row r="24" spans="1:17">
      <c r="A24" s="434"/>
      <c r="B24" s="435" t="str">
        <f>IF(ISBLANK(A24),"",VLOOKUP(A24,Management!$A$6:$C$20,2,0))</f>
        <v/>
      </c>
      <c r="C24" s="436"/>
      <c r="D24" s="116" t="str">
        <f t="shared" si="0"/>
        <v/>
      </c>
      <c r="E24" s="437" t="str">
        <f t="shared" si="1"/>
        <v/>
      </c>
      <c r="F24" s="438"/>
      <c r="G24" s="439" t="str">
        <f>IF(ISBLANK(A24),"",VLOOKUP(B24,Ceilings!$A$4:$F$206,3,0))</f>
        <v/>
      </c>
      <c r="H24" s="439" t="str">
        <f t="shared" si="2"/>
        <v/>
      </c>
      <c r="I24" s="440"/>
      <c r="J24" s="439" t="str">
        <f>IF(ISBLANK(A24),"",VLOOKUP(B24,Ceilings!$A$4:$F$206,4,0))</f>
        <v/>
      </c>
      <c r="K24" s="439" t="str">
        <f t="shared" si="3"/>
        <v/>
      </c>
      <c r="L24" s="440"/>
      <c r="M24" s="439" t="str">
        <f>IF(ISBLANK(A24),"",VLOOKUP(B24,Ceilings!$A$4:$F$206,5,0))</f>
        <v/>
      </c>
      <c r="N24" s="439" t="str">
        <f t="shared" si="4"/>
        <v/>
      </c>
      <c r="O24" s="440"/>
      <c r="P24" s="439" t="str">
        <f>IF(ISBLANK(A24),"",VLOOKUP(B24,Ceilings!$A$4:$F$206,6,0))</f>
        <v/>
      </c>
      <c r="Q24" s="282" t="str">
        <f t="shared" si="5"/>
        <v/>
      </c>
    </row>
    <row r="25" spans="1:17">
      <c r="A25" s="434"/>
      <c r="B25" s="435" t="str">
        <f>IF(ISBLANK(A25),"",VLOOKUP(A25,Management!$A$6:$C$20,2,0))</f>
        <v/>
      </c>
      <c r="C25" s="436"/>
      <c r="D25" s="116" t="str">
        <f t="shared" si="0"/>
        <v/>
      </c>
      <c r="E25" s="437" t="str">
        <f t="shared" si="1"/>
        <v/>
      </c>
      <c r="F25" s="438"/>
      <c r="G25" s="439" t="str">
        <f>IF(ISBLANK(A25),"",VLOOKUP(B25,Ceilings!$A$4:$F$206,3,0))</f>
        <v/>
      </c>
      <c r="H25" s="439" t="str">
        <f t="shared" si="2"/>
        <v/>
      </c>
      <c r="I25" s="440"/>
      <c r="J25" s="439" t="str">
        <f>IF(ISBLANK(A25),"",VLOOKUP(B25,Ceilings!$A$4:$F$206,4,0))</f>
        <v/>
      </c>
      <c r="K25" s="439" t="str">
        <f t="shared" si="3"/>
        <v/>
      </c>
      <c r="L25" s="440"/>
      <c r="M25" s="439" t="str">
        <f>IF(ISBLANK(A25),"",VLOOKUP(B25,Ceilings!$A$4:$F$206,5,0))</f>
        <v/>
      </c>
      <c r="N25" s="439" t="str">
        <f t="shared" si="4"/>
        <v/>
      </c>
      <c r="O25" s="440"/>
      <c r="P25" s="439" t="str">
        <f>IF(ISBLANK(A25),"",VLOOKUP(B25,Ceilings!$A$4:$F$206,6,0))</f>
        <v/>
      </c>
      <c r="Q25" s="282" t="str">
        <f t="shared" si="5"/>
        <v/>
      </c>
    </row>
    <row r="26" spans="1:17">
      <c r="A26" s="434"/>
      <c r="B26" s="435" t="str">
        <f>IF(ISBLANK(A26),"",VLOOKUP(A26,Management!$A$6:$C$20,2,0))</f>
        <v/>
      </c>
      <c r="C26" s="436"/>
      <c r="D26" s="116" t="str">
        <f t="shared" si="0"/>
        <v/>
      </c>
      <c r="E26" s="437" t="str">
        <f t="shared" si="1"/>
        <v/>
      </c>
      <c r="F26" s="438"/>
      <c r="G26" s="439" t="str">
        <f>IF(ISBLANK(A26),"",VLOOKUP(B26,Ceilings!$A$4:$F$206,3,0))</f>
        <v/>
      </c>
      <c r="H26" s="439" t="str">
        <f t="shared" si="2"/>
        <v/>
      </c>
      <c r="I26" s="440"/>
      <c r="J26" s="439" t="str">
        <f>IF(ISBLANK(A26),"",VLOOKUP(B26,Ceilings!$A$4:$F$206,4,0))</f>
        <v/>
      </c>
      <c r="K26" s="439" t="str">
        <f t="shared" si="3"/>
        <v/>
      </c>
      <c r="L26" s="440"/>
      <c r="M26" s="439" t="str">
        <f>IF(ISBLANK(A26),"",VLOOKUP(B26,Ceilings!$A$4:$F$206,5,0))</f>
        <v/>
      </c>
      <c r="N26" s="439" t="str">
        <f t="shared" si="4"/>
        <v/>
      </c>
      <c r="O26" s="440"/>
      <c r="P26" s="439" t="str">
        <f>IF(ISBLANK(A26),"",VLOOKUP(B26,Ceilings!$A$4:$F$206,6,0))</f>
        <v/>
      </c>
      <c r="Q26" s="282" t="str">
        <f t="shared" si="5"/>
        <v/>
      </c>
    </row>
    <row r="27" spans="1:17">
      <c r="A27" s="434"/>
      <c r="B27" s="435" t="str">
        <f>IF(ISBLANK(A27),"",VLOOKUP(A27,Management!$A$6:$C$20,2,0))</f>
        <v/>
      </c>
      <c r="C27" s="436"/>
      <c r="D27" s="116" t="str">
        <f t="shared" si="0"/>
        <v/>
      </c>
      <c r="E27" s="437" t="str">
        <f t="shared" si="1"/>
        <v/>
      </c>
      <c r="F27" s="438"/>
      <c r="G27" s="439" t="str">
        <f>IF(ISBLANK(A27),"",VLOOKUP(B27,Ceilings!$A$4:$F$206,3,0))</f>
        <v/>
      </c>
      <c r="H27" s="439" t="str">
        <f t="shared" si="2"/>
        <v/>
      </c>
      <c r="I27" s="440"/>
      <c r="J27" s="439" t="str">
        <f>IF(ISBLANK(A27),"",VLOOKUP(B27,Ceilings!$A$4:$F$206,4,0))</f>
        <v/>
      </c>
      <c r="K27" s="439" t="str">
        <f t="shared" si="3"/>
        <v/>
      </c>
      <c r="L27" s="440"/>
      <c r="M27" s="439" t="str">
        <f>IF(ISBLANK(A27),"",VLOOKUP(B27,Ceilings!$A$4:$F$206,5,0))</f>
        <v/>
      </c>
      <c r="N27" s="439" t="str">
        <f t="shared" si="4"/>
        <v/>
      </c>
      <c r="O27" s="440"/>
      <c r="P27" s="439" t="str">
        <f>IF(ISBLANK(A27),"",VLOOKUP(B27,Ceilings!$A$4:$F$206,6,0))</f>
        <v/>
      </c>
      <c r="Q27" s="282" t="str">
        <f t="shared" si="5"/>
        <v/>
      </c>
    </row>
    <row r="28" spans="1:17">
      <c r="A28" s="434"/>
      <c r="B28" s="435" t="str">
        <f>IF(ISBLANK(A28),"",VLOOKUP(A28,Management!$A$6:$C$20,2,0))</f>
        <v/>
      </c>
      <c r="C28" s="436"/>
      <c r="D28" s="116" t="str">
        <f t="shared" si="0"/>
        <v/>
      </c>
      <c r="E28" s="437" t="str">
        <f t="shared" si="1"/>
        <v/>
      </c>
      <c r="F28" s="438"/>
      <c r="G28" s="439" t="str">
        <f>IF(ISBLANK(A28),"",VLOOKUP(B28,Ceilings!$A$4:$F$206,3,0))</f>
        <v/>
      </c>
      <c r="H28" s="439" t="str">
        <f t="shared" si="2"/>
        <v/>
      </c>
      <c r="I28" s="440"/>
      <c r="J28" s="439" t="str">
        <f>IF(ISBLANK(A28),"",VLOOKUP(B28,Ceilings!$A$4:$F$206,4,0))</f>
        <v/>
      </c>
      <c r="K28" s="439" t="str">
        <f t="shared" si="3"/>
        <v/>
      </c>
      <c r="L28" s="440"/>
      <c r="M28" s="439" t="str">
        <f>IF(ISBLANK(A28),"",VLOOKUP(B28,Ceilings!$A$4:$F$206,5,0))</f>
        <v/>
      </c>
      <c r="N28" s="439" t="str">
        <f t="shared" si="4"/>
        <v/>
      </c>
      <c r="O28" s="440"/>
      <c r="P28" s="439" t="str">
        <f>IF(ISBLANK(A28),"",VLOOKUP(B28,Ceilings!$A$4:$F$206,6,0))</f>
        <v/>
      </c>
      <c r="Q28" s="282" t="str">
        <f t="shared" si="5"/>
        <v/>
      </c>
    </row>
    <row r="29" spans="1:17">
      <c r="A29" s="434"/>
      <c r="B29" s="435" t="str">
        <f>IF(ISBLANK(A29),"",VLOOKUP(A29,Management!$A$6:$C$20,2,0))</f>
        <v/>
      </c>
      <c r="C29" s="436"/>
      <c r="D29" s="116" t="str">
        <f t="shared" si="0"/>
        <v/>
      </c>
      <c r="E29" s="437" t="str">
        <f t="shared" si="1"/>
        <v/>
      </c>
      <c r="F29" s="438"/>
      <c r="G29" s="439" t="str">
        <f>IF(ISBLANK(A29),"",VLOOKUP(B29,Ceilings!$A$4:$F$206,3,0))</f>
        <v/>
      </c>
      <c r="H29" s="439" t="str">
        <f t="shared" si="2"/>
        <v/>
      </c>
      <c r="I29" s="440"/>
      <c r="J29" s="439" t="str">
        <f>IF(ISBLANK(A29),"",VLOOKUP(B29,Ceilings!$A$4:$F$206,4,0))</f>
        <v/>
      </c>
      <c r="K29" s="439" t="str">
        <f t="shared" si="3"/>
        <v/>
      </c>
      <c r="L29" s="440"/>
      <c r="M29" s="439" t="str">
        <f>IF(ISBLANK(A29),"",VLOOKUP(B29,Ceilings!$A$4:$F$206,5,0))</f>
        <v/>
      </c>
      <c r="N29" s="439" t="str">
        <f t="shared" si="4"/>
        <v/>
      </c>
      <c r="O29" s="440"/>
      <c r="P29" s="439" t="str">
        <f>IF(ISBLANK(A29),"",VLOOKUP(B29,Ceilings!$A$4:$F$206,6,0))</f>
        <v/>
      </c>
      <c r="Q29" s="282" t="str">
        <f t="shared" si="5"/>
        <v/>
      </c>
    </row>
    <row r="30" spans="1:17">
      <c r="A30" s="434"/>
      <c r="B30" s="435" t="str">
        <f>IF(ISBLANK(A30),"",VLOOKUP(A30,Management!$A$6:$C$20,2,0))</f>
        <v/>
      </c>
      <c r="C30" s="436"/>
      <c r="D30" s="116" t="str">
        <f t="shared" si="0"/>
        <v/>
      </c>
      <c r="E30" s="437" t="str">
        <f t="shared" si="1"/>
        <v/>
      </c>
      <c r="F30" s="438"/>
      <c r="G30" s="439" t="str">
        <f>IF(ISBLANK(A30),"",VLOOKUP(B30,Ceilings!$A$4:$F$206,3,0))</f>
        <v/>
      </c>
      <c r="H30" s="439" t="str">
        <f t="shared" si="2"/>
        <v/>
      </c>
      <c r="I30" s="440"/>
      <c r="J30" s="439" t="str">
        <f>IF(ISBLANK(A30),"",VLOOKUP(B30,Ceilings!$A$4:$F$206,4,0))</f>
        <v/>
      </c>
      <c r="K30" s="439" t="str">
        <f t="shared" si="3"/>
        <v/>
      </c>
      <c r="L30" s="440"/>
      <c r="M30" s="439" t="str">
        <f>IF(ISBLANK(A30),"",VLOOKUP(B30,Ceilings!$A$4:$F$206,5,0))</f>
        <v/>
      </c>
      <c r="N30" s="439" t="str">
        <f t="shared" si="4"/>
        <v/>
      </c>
      <c r="O30" s="440"/>
      <c r="P30" s="439" t="str">
        <f>IF(ISBLANK(A30),"",VLOOKUP(B30,Ceilings!$A$4:$F$206,6,0))</f>
        <v/>
      </c>
      <c r="Q30" s="282" t="str">
        <f t="shared" si="5"/>
        <v/>
      </c>
    </row>
    <row r="31" spans="1:17">
      <c r="A31" s="434"/>
      <c r="B31" s="435" t="str">
        <f>IF(ISBLANK(A31),"",VLOOKUP(A31,Management!$A$6:$C$20,2,0))</f>
        <v/>
      </c>
      <c r="C31" s="436"/>
      <c r="D31" s="116" t="str">
        <f t="shared" si="0"/>
        <v/>
      </c>
      <c r="E31" s="437" t="str">
        <f t="shared" si="1"/>
        <v/>
      </c>
      <c r="F31" s="438"/>
      <c r="G31" s="439" t="str">
        <f>IF(ISBLANK(A31),"",VLOOKUP(B31,Ceilings!$A$4:$F$206,3,0))</f>
        <v/>
      </c>
      <c r="H31" s="439" t="str">
        <f t="shared" si="2"/>
        <v/>
      </c>
      <c r="I31" s="440"/>
      <c r="J31" s="439" t="str">
        <f>IF(ISBLANK(A31),"",VLOOKUP(B31,Ceilings!$A$4:$F$206,4,0))</f>
        <v/>
      </c>
      <c r="K31" s="439" t="str">
        <f t="shared" si="3"/>
        <v/>
      </c>
      <c r="L31" s="440"/>
      <c r="M31" s="439" t="str">
        <f>IF(ISBLANK(A31),"",VLOOKUP(B31,Ceilings!$A$4:$F$206,5,0))</f>
        <v/>
      </c>
      <c r="N31" s="439" t="str">
        <f t="shared" si="4"/>
        <v/>
      </c>
      <c r="O31" s="440"/>
      <c r="P31" s="439" t="str">
        <f>IF(ISBLANK(A31),"",VLOOKUP(B31,Ceilings!$A$4:$F$206,6,0))</f>
        <v/>
      </c>
      <c r="Q31" s="282" t="str">
        <f t="shared" si="5"/>
        <v/>
      </c>
    </row>
    <row r="32" spans="1:17">
      <c r="A32" s="434"/>
      <c r="B32" s="435" t="str">
        <f>IF(ISBLANK(A32),"",VLOOKUP(A32,Management!$A$6:$C$20,2,0))</f>
        <v/>
      </c>
      <c r="C32" s="436"/>
      <c r="D32" s="116" t="str">
        <f t="shared" si="0"/>
        <v/>
      </c>
      <c r="E32" s="437" t="str">
        <f t="shared" si="1"/>
        <v/>
      </c>
      <c r="F32" s="438"/>
      <c r="G32" s="439" t="str">
        <f>IF(ISBLANK(A32),"",VLOOKUP(B32,Ceilings!$A$4:$F$206,3,0))</f>
        <v/>
      </c>
      <c r="H32" s="439" t="str">
        <f t="shared" si="2"/>
        <v/>
      </c>
      <c r="I32" s="440"/>
      <c r="J32" s="439" t="str">
        <f>IF(ISBLANK(A32),"",VLOOKUP(B32,Ceilings!$A$4:$F$206,4,0))</f>
        <v/>
      </c>
      <c r="K32" s="439" t="str">
        <f t="shared" si="3"/>
        <v/>
      </c>
      <c r="L32" s="440"/>
      <c r="M32" s="439" t="str">
        <f>IF(ISBLANK(A32),"",VLOOKUP(B32,Ceilings!$A$4:$F$206,5,0))</f>
        <v/>
      </c>
      <c r="N32" s="439" t="str">
        <f t="shared" si="4"/>
        <v/>
      </c>
      <c r="O32" s="440"/>
      <c r="P32" s="439" t="str">
        <f>IF(ISBLANK(A32),"",VLOOKUP(B32,Ceilings!$A$4:$F$206,6,0))</f>
        <v/>
      </c>
      <c r="Q32" s="282" t="str">
        <f t="shared" si="5"/>
        <v/>
      </c>
    </row>
    <row r="33" spans="1:17">
      <c r="A33" s="434"/>
      <c r="B33" s="435" t="str">
        <f>IF(ISBLANK(A33),"",VLOOKUP(A33,Management!$A$6:$C$20,2,0))</f>
        <v/>
      </c>
      <c r="C33" s="436"/>
      <c r="D33" s="116" t="str">
        <f t="shared" si="0"/>
        <v/>
      </c>
      <c r="E33" s="437" t="str">
        <f t="shared" si="1"/>
        <v/>
      </c>
      <c r="F33" s="438"/>
      <c r="G33" s="439" t="str">
        <f>IF(ISBLANK(A33),"",VLOOKUP(B33,Ceilings!$A$4:$F$206,3,0))</f>
        <v/>
      </c>
      <c r="H33" s="439" t="str">
        <f t="shared" si="2"/>
        <v/>
      </c>
      <c r="I33" s="440"/>
      <c r="J33" s="439" t="str">
        <f>IF(ISBLANK(A33),"",VLOOKUP(B33,Ceilings!$A$4:$F$206,4,0))</f>
        <v/>
      </c>
      <c r="K33" s="439" t="str">
        <f t="shared" si="3"/>
        <v/>
      </c>
      <c r="L33" s="440"/>
      <c r="M33" s="439" t="str">
        <f>IF(ISBLANK(A33),"",VLOOKUP(B33,Ceilings!$A$4:$F$206,5,0))</f>
        <v/>
      </c>
      <c r="N33" s="439" t="str">
        <f t="shared" si="4"/>
        <v/>
      </c>
      <c r="O33" s="440"/>
      <c r="P33" s="439" t="str">
        <f>IF(ISBLANK(A33),"",VLOOKUP(B33,Ceilings!$A$4:$F$206,6,0))</f>
        <v/>
      </c>
      <c r="Q33" s="282" t="str">
        <f t="shared" si="5"/>
        <v/>
      </c>
    </row>
    <row r="34" spans="1:17">
      <c r="A34" s="434"/>
      <c r="B34" s="435" t="str">
        <f>IF(ISBLANK(A34),"",VLOOKUP(A34,Management!$A$6:$C$20,2,0))</f>
        <v/>
      </c>
      <c r="C34" s="436"/>
      <c r="D34" s="116" t="str">
        <f t="shared" si="0"/>
        <v/>
      </c>
      <c r="E34" s="437" t="str">
        <f t="shared" si="1"/>
        <v/>
      </c>
      <c r="F34" s="438"/>
      <c r="G34" s="439" t="str">
        <f>IF(ISBLANK(A34),"",VLOOKUP(B34,Ceilings!$A$4:$F$206,3,0))</f>
        <v/>
      </c>
      <c r="H34" s="439" t="str">
        <f t="shared" si="2"/>
        <v/>
      </c>
      <c r="I34" s="440"/>
      <c r="J34" s="439" t="str">
        <f>IF(ISBLANK(A34),"",VLOOKUP(B34,Ceilings!$A$4:$F$206,4,0))</f>
        <v/>
      </c>
      <c r="K34" s="439" t="str">
        <f t="shared" si="3"/>
        <v/>
      </c>
      <c r="L34" s="440"/>
      <c r="M34" s="439" t="str">
        <f>IF(ISBLANK(A34),"",VLOOKUP(B34,Ceilings!$A$4:$F$206,5,0))</f>
        <v/>
      </c>
      <c r="N34" s="439" t="str">
        <f t="shared" si="4"/>
        <v/>
      </c>
      <c r="O34" s="440"/>
      <c r="P34" s="439" t="str">
        <f>IF(ISBLANK(A34),"",VLOOKUP(B34,Ceilings!$A$4:$F$206,6,0))</f>
        <v/>
      </c>
      <c r="Q34" s="282" t="str">
        <f t="shared" si="5"/>
        <v/>
      </c>
    </row>
    <row r="35" spans="1:17">
      <c r="A35" s="434"/>
      <c r="B35" s="435" t="str">
        <f>IF(ISBLANK(A35),"",VLOOKUP(A35,Management!$A$6:$C$20,2,0))</f>
        <v/>
      </c>
      <c r="C35" s="436"/>
      <c r="D35" s="116" t="str">
        <f t="shared" si="0"/>
        <v/>
      </c>
      <c r="E35" s="437" t="str">
        <f t="shared" si="1"/>
        <v/>
      </c>
      <c r="F35" s="438"/>
      <c r="G35" s="439" t="str">
        <f>IF(ISBLANK(A35),"",VLOOKUP(B35,Ceilings!$A$4:$F$206,3,0))</f>
        <v/>
      </c>
      <c r="H35" s="439" t="str">
        <f t="shared" si="2"/>
        <v/>
      </c>
      <c r="I35" s="440"/>
      <c r="J35" s="439" t="str">
        <f>IF(ISBLANK(A35),"",VLOOKUP(B35,Ceilings!$A$4:$F$206,4,0))</f>
        <v/>
      </c>
      <c r="K35" s="439" t="str">
        <f t="shared" si="3"/>
        <v/>
      </c>
      <c r="L35" s="440"/>
      <c r="M35" s="439" t="str">
        <f>IF(ISBLANK(A35),"",VLOOKUP(B35,Ceilings!$A$4:$F$206,5,0))</f>
        <v/>
      </c>
      <c r="N35" s="439" t="str">
        <f t="shared" si="4"/>
        <v/>
      </c>
      <c r="O35" s="440"/>
      <c r="P35" s="439" t="str">
        <f>IF(ISBLANK(A35),"",VLOOKUP(B35,Ceilings!$A$4:$F$206,6,0))</f>
        <v/>
      </c>
      <c r="Q35" s="282" t="str">
        <f t="shared" si="5"/>
        <v/>
      </c>
    </row>
    <row r="36" spans="1:17">
      <c r="A36" s="434"/>
      <c r="B36" s="435" t="str">
        <f>IF(ISBLANK(A36),"",VLOOKUP(A36,Management!$A$6:$C$20,2,0))</f>
        <v/>
      </c>
      <c r="C36" s="436"/>
      <c r="D36" s="116" t="str">
        <f t="shared" si="0"/>
        <v/>
      </c>
      <c r="E36" s="437" t="str">
        <f t="shared" si="1"/>
        <v/>
      </c>
      <c r="F36" s="438"/>
      <c r="G36" s="439" t="str">
        <f>IF(ISBLANK(A36),"",VLOOKUP(B36,Ceilings!$A$4:$F$206,3,0))</f>
        <v/>
      </c>
      <c r="H36" s="439" t="str">
        <f t="shared" si="2"/>
        <v/>
      </c>
      <c r="I36" s="440"/>
      <c r="J36" s="439" t="str">
        <f>IF(ISBLANK(A36),"",VLOOKUP(B36,Ceilings!$A$4:$F$206,4,0))</f>
        <v/>
      </c>
      <c r="K36" s="439" t="str">
        <f t="shared" si="3"/>
        <v/>
      </c>
      <c r="L36" s="440"/>
      <c r="M36" s="439" t="str">
        <f>IF(ISBLANK(A36),"",VLOOKUP(B36,Ceilings!$A$4:$F$206,5,0))</f>
        <v/>
      </c>
      <c r="N36" s="439" t="str">
        <f t="shared" si="4"/>
        <v/>
      </c>
      <c r="O36" s="440"/>
      <c r="P36" s="439" t="str">
        <f>IF(ISBLANK(A36),"",VLOOKUP(B36,Ceilings!$A$4:$F$206,6,0))</f>
        <v/>
      </c>
      <c r="Q36" s="282" t="str">
        <f t="shared" si="5"/>
        <v/>
      </c>
    </row>
    <row r="37" spans="1:17">
      <c r="A37" s="434"/>
      <c r="B37" s="435" t="str">
        <f>IF(ISBLANK(A37),"",VLOOKUP(A37,Management!$A$6:$C$20,2,0))</f>
        <v/>
      </c>
      <c r="C37" s="436"/>
      <c r="D37" s="116" t="str">
        <f t="shared" si="0"/>
        <v/>
      </c>
      <c r="E37" s="437" t="str">
        <f t="shared" si="1"/>
        <v/>
      </c>
      <c r="F37" s="438"/>
      <c r="G37" s="439" t="str">
        <f>IF(ISBLANK(A37),"",VLOOKUP(B37,Ceilings!$A$4:$F$206,3,0))</f>
        <v/>
      </c>
      <c r="H37" s="439" t="str">
        <f t="shared" si="2"/>
        <v/>
      </c>
      <c r="I37" s="440"/>
      <c r="J37" s="439" t="str">
        <f>IF(ISBLANK(A37),"",VLOOKUP(B37,Ceilings!$A$4:$F$206,4,0))</f>
        <v/>
      </c>
      <c r="K37" s="439" t="str">
        <f t="shared" si="3"/>
        <v/>
      </c>
      <c r="L37" s="440"/>
      <c r="M37" s="439" t="str">
        <f>IF(ISBLANK(A37),"",VLOOKUP(B37,Ceilings!$A$4:$F$206,5,0))</f>
        <v/>
      </c>
      <c r="N37" s="439" t="str">
        <f t="shared" si="4"/>
        <v/>
      </c>
      <c r="O37" s="440"/>
      <c r="P37" s="439" t="str">
        <f>IF(ISBLANK(A37),"",VLOOKUP(B37,Ceilings!$A$4:$F$206,6,0))</f>
        <v/>
      </c>
      <c r="Q37" s="282" t="str">
        <f t="shared" si="5"/>
        <v/>
      </c>
    </row>
    <row r="38" spans="1:17">
      <c r="A38" s="434"/>
      <c r="B38" s="435" t="str">
        <f>IF(ISBLANK(A38),"",VLOOKUP(A38,Management!$A$6:$C$20,2,0))</f>
        <v/>
      </c>
      <c r="C38" s="436"/>
      <c r="D38" s="116" t="str">
        <f t="shared" si="0"/>
        <v/>
      </c>
      <c r="E38" s="437" t="str">
        <f t="shared" si="1"/>
        <v/>
      </c>
      <c r="F38" s="438"/>
      <c r="G38" s="439" t="str">
        <f>IF(ISBLANK(A38),"",VLOOKUP(B38,Ceilings!$A$4:$F$206,3,0))</f>
        <v/>
      </c>
      <c r="H38" s="439" t="str">
        <f t="shared" si="2"/>
        <v/>
      </c>
      <c r="I38" s="440"/>
      <c r="J38" s="439" t="str">
        <f>IF(ISBLANK(A38),"",VLOOKUP(B38,Ceilings!$A$4:$F$206,4,0))</f>
        <v/>
      </c>
      <c r="K38" s="439" t="str">
        <f t="shared" si="3"/>
        <v/>
      </c>
      <c r="L38" s="440"/>
      <c r="M38" s="439" t="str">
        <f>IF(ISBLANK(A38),"",VLOOKUP(B38,Ceilings!$A$4:$F$206,5,0))</f>
        <v/>
      </c>
      <c r="N38" s="439" t="str">
        <f t="shared" si="4"/>
        <v/>
      </c>
      <c r="O38" s="440"/>
      <c r="P38" s="439" t="str">
        <f>IF(ISBLANK(A38),"",VLOOKUP(B38,Ceilings!$A$4:$F$206,6,0))</f>
        <v/>
      </c>
      <c r="Q38" s="282" t="str">
        <f t="shared" si="5"/>
        <v/>
      </c>
    </row>
    <row r="39" spans="1:17">
      <c r="A39" s="434"/>
      <c r="B39" s="435" t="str">
        <f>IF(ISBLANK(A39),"",VLOOKUP(A39,Management!$A$6:$C$20,2,0))</f>
        <v/>
      </c>
      <c r="C39" s="436"/>
      <c r="D39" s="116" t="str">
        <f t="shared" si="0"/>
        <v/>
      </c>
      <c r="E39" s="437" t="str">
        <f t="shared" si="1"/>
        <v/>
      </c>
      <c r="F39" s="438"/>
      <c r="G39" s="439" t="str">
        <f>IF(ISBLANK(A39),"",VLOOKUP(B39,Ceilings!$A$4:$F$206,3,0))</f>
        <v/>
      </c>
      <c r="H39" s="439" t="str">
        <f t="shared" si="2"/>
        <v/>
      </c>
      <c r="I39" s="440"/>
      <c r="J39" s="439" t="str">
        <f>IF(ISBLANK(A39),"",VLOOKUP(B39,Ceilings!$A$4:$F$206,4,0))</f>
        <v/>
      </c>
      <c r="K39" s="439" t="str">
        <f t="shared" si="3"/>
        <v/>
      </c>
      <c r="L39" s="440"/>
      <c r="M39" s="439" t="str">
        <f>IF(ISBLANK(A39),"",VLOOKUP(B39,Ceilings!$A$4:$F$206,5,0))</f>
        <v/>
      </c>
      <c r="N39" s="439" t="str">
        <f t="shared" si="4"/>
        <v/>
      </c>
      <c r="O39" s="440"/>
      <c r="P39" s="439" t="str">
        <f>IF(ISBLANK(A39),"",VLOOKUP(B39,Ceilings!$A$4:$F$206,6,0))</f>
        <v/>
      </c>
      <c r="Q39" s="282" t="str">
        <f t="shared" si="5"/>
        <v/>
      </c>
    </row>
    <row r="40" spans="1:17">
      <c r="A40" s="434"/>
      <c r="B40" s="435" t="str">
        <f>IF(ISBLANK(A40),"",VLOOKUP(A40,Management!$A$6:$C$20,2,0))</f>
        <v/>
      </c>
      <c r="C40" s="436"/>
      <c r="D40" s="116" t="str">
        <f t="shared" si="0"/>
        <v/>
      </c>
      <c r="E40" s="437" t="str">
        <f t="shared" si="1"/>
        <v/>
      </c>
      <c r="F40" s="438"/>
      <c r="G40" s="439" t="str">
        <f>IF(ISBLANK(A40),"",VLOOKUP(B40,Ceilings!$A$4:$F$206,3,0))</f>
        <v/>
      </c>
      <c r="H40" s="439" t="str">
        <f t="shared" si="2"/>
        <v/>
      </c>
      <c r="I40" s="440"/>
      <c r="J40" s="439" t="str">
        <f>IF(ISBLANK(A40),"",VLOOKUP(B40,Ceilings!$A$4:$F$206,4,0))</f>
        <v/>
      </c>
      <c r="K40" s="439" t="str">
        <f t="shared" si="3"/>
        <v/>
      </c>
      <c r="L40" s="440"/>
      <c r="M40" s="439" t="str">
        <f>IF(ISBLANK(A40),"",VLOOKUP(B40,Ceilings!$A$4:$F$206,5,0))</f>
        <v/>
      </c>
      <c r="N40" s="439" t="str">
        <f t="shared" si="4"/>
        <v/>
      </c>
      <c r="O40" s="440"/>
      <c r="P40" s="439" t="str">
        <f>IF(ISBLANK(A40),"",VLOOKUP(B40,Ceilings!$A$4:$F$206,6,0))</f>
        <v/>
      </c>
      <c r="Q40" s="282" t="str">
        <f t="shared" si="5"/>
        <v/>
      </c>
    </row>
    <row r="41" spans="1:17">
      <c r="A41" s="434"/>
      <c r="B41" s="435" t="str">
        <f>IF(ISBLANK(A41),"",VLOOKUP(A41,Management!$A$6:$C$20,2,0))</f>
        <v/>
      </c>
      <c r="C41" s="436"/>
      <c r="D41" s="116" t="str">
        <f t="shared" si="0"/>
        <v/>
      </c>
      <c r="E41" s="437" t="str">
        <f t="shared" si="1"/>
        <v/>
      </c>
      <c r="F41" s="438"/>
      <c r="G41" s="439" t="str">
        <f>IF(ISBLANK(A41),"",VLOOKUP(B41,Ceilings!$A$4:$F$206,3,0))</f>
        <v/>
      </c>
      <c r="H41" s="439" t="str">
        <f t="shared" si="2"/>
        <v/>
      </c>
      <c r="I41" s="440"/>
      <c r="J41" s="439" t="str">
        <f>IF(ISBLANK(A41),"",VLOOKUP(B41,Ceilings!$A$4:$F$206,4,0))</f>
        <v/>
      </c>
      <c r="K41" s="439" t="str">
        <f t="shared" si="3"/>
        <v/>
      </c>
      <c r="L41" s="440"/>
      <c r="M41" s="439" t="str">
        <f>IF(ISBLANK(A41),"",VLOOKUP(B41,Ceilings!$A$4:$F$206,5,0))</f>
        <v/>
      </c>
      <c r="N41" s="439" t="str">
        <f t="shared" si="4"/>
        <v/>
      </c>
      <c r="O41" s="440"/>
      <c r="P41" s="439" t="str">
        <f>IF(ISBLANK(A41),"",VLOOKUP(B41,Ceilings!$A$4:$F$206,6,0))</f>
        <v/>
      </c>
      <c r="Q41" s="282" t="str">
        <f t="shared" si="5"/>
        <v/>
      </c>
    </row>
    <row r="42" spans="1:17">
      <c r="A42" s="434"/>
      <c r="B42" s="435" t="str">
        <f>IF(ISBLANK(A42),"",VLOOKUP(A42,Management!$A$6:$C$20,2,0))</f>
        <v/>
      </c>
      <c r="C42" s="436"/>
      <c r="D42" s="116" t="str">
        <f t="shared" si="0"/>
        <v/>
      </c>
      <c r="E42" s="437" t="str">
        <f t="shared" si="1"/>
        <v/>
      </c>
      <c r="F42" s="438"/>
      <c r="G42" s="439" t="str">
        <f>IF(ISBLANK(A42),"",VLOOKUP(B42,Ceilings!$A$4:$F$206,3,0))</f>
        <v/>
      </c>
      <c r="H42" s="439" t="str">
        <f t="shared" si="2"/>
        <v/>
      </c>
      <c r="I42" s="440"/>
      <c r="J42" s="439" t="str">
        <f>IF(ISBLANK(A42),"",VLOOKUP(B42,Ceilings!$A$4:$F$206,4,0))</f>
        <v/>
      </c>
      <c r="K42" s="439" t="str">
        <f t="shared" si="3"/>
        <v/>
      </c>
      <c r="L42" s="440"/>
      <c r="M42" s="439" t="str">
        <f>IF(ISBLANK(A42),"",VLOOKUP(B42,Ceilings!$A$4:$F$206,5,0))</f>
        <v/>
      </c>
      <c r="N42" s="439" t="str">
        <f t="shared" si="4"/>
        <v/>
      </c>
      <c r="O42" s="440"/>
      <c r="P42" s="439" t="str">
        <f>IF(ISBLANK(A42),"",VLOOKUP(B42,Ceilings!$A$4:$F$206,6,0))</f>
        <v/>
      </c>
      <c r="Q42" s="282" t="str">
        <f t="shared" si="5"/>
        <v/>
      </c>
    </row>
    <row r="43" spans="1:17">
      <c r="A43" s="434"/>
      <c r="B43" s="435" t="str">
        <f>IF(ISBLANK(A43),"",VLOOKUP(A43,Management!$A$6:$C$20,2,0))</f>
        <v/>
      </c>
      <c r="C43" s="436"/>
      <c r="D43" s="116" t="str">
        <f t="shared" si="0"/>
        <v/>
      </c>
      <c r="E43" s="437" t="str">
        <f t="shared" si="1"/>
        <v/>
      </c>
      <c r="F43" s="438"/>
      <c r="G43" s="439" t="str">
        <f>IF(ISBLANK(A43),"",VLOOKUP(B43,Ceilings!$A$4:$F$206,3,0))</f>
        <v/>
      </c>
      <c r="H43" s="439" t="str">
        <f t="shared" si="2"/>
        <v/>
      </c>
      <c r="I43" s="440"/>
      <c r="J43" s="439" t="str">
        <f>IF(ISBLANK(A43),"",VLOOKUP(B43,Ceilings!$A$4:$F$206,4,0))</f>
        <v/>
      </c>
      <c r="K43" s="439" t="str">
        <f t="shared" si="3"/>
        <v/>
      </c>
      <c r="L43" s="440"/>
      <c r="M43" s="439" t="str">
        <f>IF(ISBLANK(A43),"",VLOOKUP(B43,Ceilings!$A$4:$F$206,5,0))</f>
        <v/>
      </c>
      <c r="N43" s="439" t="str">
        <f t="shared" si="4"/>
        <v/>
      </c>
      <c r="O43" s="440"/>
      <c r="P43" s="439" t="str">
        <f>IF(ISBLANK(A43),"",VLOOKUP(B43,Ceilings!$A$4:$F$206,6,0))</f>
        <v/>
      </c>
      <c r="Q43" s="282" t="str">
        <f t="shared" si="5"/>
        <v/>
      </c>
    </row>
    <row r="44" spans="1:17">
      <c r="A44" s="434"/>
      <c r="B44" s="435" t="str">
        <f>IF(ISBLANK(A44),"",VLOOKUP(A44,Management!$A$6:$C$20,2,0))</f>
        <v/>
      </c>
      <c r="C44" s="436"/>
      <c r="D44" s="116" t="str">
        <f t="shared" si="0"/>
        <v/>
      </c>
      <c r="E44" s="437" t="str">
        <f t="shared" si="1"/>
        <v/>
      </c>
      <c r="F44" s="438"/>
      <c r="G44" s="439" t="str">
        <f>IF(ISBLANK(A44),"",VLOOKUP(B44,Ceilings!$A$4:$F$206,3,0))</f>
        <v/>
      </c>
      <c r="H44" s="439" t="str">
        <f t="shared" si="2"/>
        <v/>
      </c>
      <c r="I44" s="440"/>
      <c r="J44" s="439" t="str">
        <f>IF(ISBLANK(A44),"",VLOOKUP(B44,Ceilings!$A$4:$F$206,4,0))</f>
        <v/>
      </c>
      <c r="K44" s="439" t="str">
        <f t="shared" si="3"/>
        <v/>
      </c>
      <c r="L44" s="440"/>
      <c r="M44" s="439" t="str">
        <f>IF(ISBLANK(A44),"",VLOOKUP(B44,Ceilings!$A$4:$F$206,5,0))</f>
        <v/>
      </c>
      <c r="N44" s="439" t="str">
        <f t="shared" si="4"/>
        <v/>
      </c>
      <c r="O44" s="440"/>
      <c r="P44" s="439" t="str">
        <f>IF(ISBLANK(A44),"",VLOOKUP(B44,Ceilings!$A$4:$F$206,6,0))</f>
        <v/>
      </c>
      <c r="Q44" s="282" t="str">
        <f t="shared" si="5"/>
        <v/>
      </c>
    </row>
    <row r="45" spans="1:17">
      <c r="A45" s="434"/>
      <c r="B45" s="435" t="str">
        <f>IF(ISBLANK(A45),"",VLOOKUP(A45,Management!$A$6:$C$20,2,0))</f>
        <v/>
      </c>
      <c r="C45" s="436"/>
      <c r="D45" s="116" t="str">
        <f t="shared" si="0"/>
        <v/>
      </c>
      <c r="E45" s="437" t="str">
        <f t="shared" si="1"/>
        <v/>
      </c>
      <c r="F45" s="438"/>
      <c r="G45" s="439" t="str">
        <f>IF(ISBLANK(A45),"",VLOOKUP(B45,Ceilings!$A$4:$F$206,3,0))</f>
        <v/>
      </c>
      <c r="H45" s="439" t="str">
        <f t="shared" si="2"/>
        <v/>
      </c>
      <c r="I45" s="440"/>
      <c r="J45" s="439" t="str">
        <f>IF(ISBLANK(A45),"",VLOOKUP(B45,Ceilings!$A$4:$F$206,4,0))</f>
        <v/>
      </c>
      <c r="K45" s="439" t="str">
        <f t="shared" si="3"/>
        <v/>
      </c>
      <c r="L45" s="440"/>
      <c r="M45" s="439" t="str">
        <f>IF(ISBLANK(A45),"",VLOOKUP(B45,Ceilings!$A$4:$F$206,5,0))</f>
        <v/>
      </c>
      <c r="N45" s="439" t="str">
        <f t="shared" si="4"/>
        <v/>
      </c>
      <c r="O45" s="440"/>
      <c r="P45" s="439" t="str">
        <f>IF(ISBLANK(A45),"",VLOOKUP(B45,Ceilings!$A$4:$F$206,6,0))</f>
        <v/>
      </c>
      <c r="Q45" s="282" t="str">
        <f t="shared" si="5"/>
        <v/>
      </c>
    </row>
    <row r="46" spans="1:17">
      <c r="A46" s="434"/>
      <c r="B46" s="435" t="str">
        <f>IF(ISBLANK(A46),"",VLOOKUP(A46,Management!$A$6:$C$20,2,0))</f>
        <v/>
      </c>
      <c r="C46" s="436"/>
      <c r="D46" s="116" t="str">
        <f t="shared" si="0"/>
        <v/>
      </c>
      <c r="E46" s="437" t="str">
        <f t="shared" si="1"/>
        <v/>
      </c>
      <c r="F46" s="438"/>
      <c r="G46" s="439" t="str">
        <f>IF(ISBLANK(A46),"",VLOOKUP(B46,Ceilings!$A$4:$F$206,3,0))</f>
        <v/>
      </c>
      <c r="H46" s="439" t="str">
        <f t="shared" si="2"/>
        <v/>
      </c>
      <c r="I46" s="440"/>
      <c r="J46" s="439" t="str">
        <f>IF(ISBLANK(A46),"",VLOOKUP(B46,Ceilings!$A$4:$F$206,4,0))</f>
        <v/>
      </c>
      <c r="K46" s="439" t="str">
        <f t="shared" si="3"/>
        <v/>
      </c>
      <c r="L46" s="440"/>
      <c r="M46" s="439" t="str">
        <f>IF(ISBLANK(A46),"",VLOOKUP(B46,Ceilings!$A$4:$F$206,5,0))</f>
        <v/>
      </c>
      <c r="N46" s="439" t="str">
        <f t="shared" si="4"/>
        <v/>
      </c>
      <c r="O46" s="440"/>
      <c r="P46" s="439" t="str">
        <f>IF(ISBLANK(A46),"",VLOOKUP(B46,Ceilings!$A$4:$F$206,6,0))</f>
        <v/>
      </c>
      <c r="Q46" s="282" t="str">
        <f t="shared" si="5"/>
        <v/>
      </c>
    </row>
    <row r="47" spans="1:17">
      <c r="A47" s="434"/>
      <c r="B47" s="435" t="str">
        <f>IF(ISBLANK(A47),"",VLOOKUP(A47,Management!$A$6:$C$20,2,0))</f>
        <v/>
      </c>
      <c r="C47" s="436"/>
      <c r="D47" s="116" t="str">
        <f t="shared" si="0"/>
        <v/>
      </c>
      <c r="E47" s="437" t="str">
        <f t="shared" si="1"/>
        <v/>
      </c>
      <c r="F47" s="438"/>
      <c r="G47" s="439" t="str">
        <f>IF(ISBLANK(A47),"",VLOOKUP(B47,Ceilings!$A$4:$F$206,3,0))</f>
        <v/>
      </c>
      <c r="H47" s="439" t="str">
        <f t="shared" si="2"/>
        <v/>
      </c>
      <c r="I47" s="440"/>
      <c r="J47" s="439" t="str">
        <f>IF(ISBLANK(A47),"",VLOOKUP(B47,Ceilings!$A$4:$F$206,4,0))</f>
        <v/>
      </c>
      <c r="K47" s="439" t="str">
        <f t="shared" si="3"/>
        <v/>
      </c>
      <c r="L47" s="440"/>
      <c r="M47" s="439" t="str">
        <f>IF(ISBLANK(A47),"",VLOOKUP(B47,Ceilings!$A$4:$F$206,5,0))</f>
        <v/>
      </c>
      <c r="N47" s="439" t="str">
        <f t="shared" si="4"/>
        <v/>
      </c>
      <c r="O47" s="440"/>
      <c r="P47" s="439" t="str">
        <f>IF(ISBLANK(A47),"",VLOOKUP(B47,Ceilings!$A$4:$F$206,6,0))</f>
        <v/>
      </c>
      <c r="Q47" s="282" t="str">
        <f t="shared" si="5"/>
        <v/>
      </c>
    </row>
    <row r="48" spans="1:17">
      <c r="A48" s="434"/>
      <c r="B48" s="435" t="str">
        <f>IF(ISBLANK(A48),"",VLOOKUP(A48,Management!$A$6:$C$20,2,0))</f>
        <v/>
      </c>
      <c r="C48" s="436"/>
      <c r="D48" s="116" t="str">
        <f t="shared" si="0"/>
        <v/>
      </c>
      <c r="E48" s="437" t="str">
        <f t="shared" si="1"/>
        <v/>
      </c>
      <c r="F48" s="438"/>
      <c r="G48" s="439" t="str">
        <f>IF(ISBLANK(A48),"",VLOOKUP(B48,Ceilings!$A$4:$F$206,3,0))</f>
        <v/>
      </c>
      <c r="H48" s="439" t="str">
        <f t="shared" si="2"/>
        <v/>
      </c>
      <c r="I48" s="440"/>
      <c r="J48" s="439" t="str">
        <f>IF(ISBLANK(A48),"",VLOOKUP(B48,Ceilings!$A$4:$F$206,4,0))</f>
        <v/>
      </c>
      <c r="K48" s="439" t="str">
        <f t="shared" si="3"/>
        <v/>
      </c>
      <c r="L48" s="440"/>
      <c r="M48" s="439" t="str">
        <f>IF(ISBLANK(A48),"",VLOOKUP(B48,Ceilings!$A$4:$F$206,5,0))</f>
        <v/>
      </c>
      <c r="N48" s="439" t="str">
        <f t="shared" si="4"/>
        <v/>
      </c>
      <c r="O48" s="440"/>
      <c r="P48" s="439" t="str">
        <f>IF(ISBLANK(A48),"",VLOOKUP(B48,Ceilings!$A$4:$F$206,6,0))</f>
        <v/>
      </c>
      <c r="Q48" s="282" t="str">
        <f t="shared" si="5"/>
        <v/>
      </c>
    </row>
    <row r="49" spans="1:17">
      <c r="A49" s="434"/>
      <c r="B49" s="435" t="str">
        <f>IF(ISBLANK(A49),"",VLOOKUP(A49,Management!$A$6:$C$20,2,0))</f>
        <v/>
      </c>
      <c r="C49" s="436"/>
      <c r="D49" s="116" t="str">
        <f t="shared" si="0"/>
        <v/>
      </c>
      <c r="E49" s="437" t="str">
        <f t="shared" si="1"/>
        <v/>
      </c>
      <c r="F49" s="438"/>
      <c r="G49" s="439" t="str">
        <f>IF(ISBLANK(A49),"",VLOOKUP(B49,Ceilings!$A$4:$F$206,3,0))</f>
        <v/>
      </c>
      <c r="H49" s="439" t="str">
        <f t="shared" si="2"/>
        <v/>
      </c>
      <c r="I49" s="440"/>
      <c r="J49" s="439" t="str">
        <f>IF(ISBLANK(A49),"",VLOOKUP(B49,Ceilings!$A$4:$F$206,4,0))</f>
        <v/>
      </c>
      <c r="K49" s="439" t="str">
        <f t="shared" si="3"/>
        <v/>
      </c>
      <c r="L49" s="440"/>
      <c r="M49" s="439" t="str">
        <f>IF(ISBLANK(A49),"",VLOOKUP(B49,Ceilings!$A$4:$F$206,5,0))</f>
        <v/>
      </c>
      <c r="N49" s="439" t="str">
        <f t="shared" si="4"/>
        <v/>
      </c>
      <c r="O49" s="440"/>
      <c r="P49" s="439" t="str">
        <f>IF(ISBLANK(A49),"",VLOOKUP(B49,Ceilings!$A$4:$F$206,6,0))</f>
        <v/>
      </c>
      <c r="Q49" s="282" t="str">
        <f t="shared" si="5"/>
        <v/>
      </c>
    </row>
    <row r="50" spans="1:17">
      <c r="A50" s="434"/>
      <c r="B50" s="435" t="str">
        <f>IF(ISBLANK(A50),"",VLOOKUP(A50,Management!$A$6:$C$20,2,0))</f>
        <v/>
      </c>
      <c r="C50" s="436"/>
      <c r="D50" s="116" t="str">
        <f t="shared" si="0"/>
        <v/>
      </c>
      <c r="E50" s="437" t="str">
        <f t="shared" si="1"/>
        <v/>
      </c>
      <c r="F50" s="438"/>
      <c r="G50" s="439" t="str">
        <f>IF(ISBLANK(A50),"",VLOOKUP(B50,Ceilings!$A$4:$F$206,3,0))</f>
        <v/>
      </c>
      <c r="H50" s="439" t="str">
        <f t="shared" si="2"/>
        <v/>
      </c>
      <c r="I50" s="440"/>
      <c r="J50" s="439" t="str">
        <f>IF(ISBLANK(A50),"",VLOOKUP(B50,Ceilings!$A$4:$F$206,4,0))</f>
        <v/>
      </c>
      <c r="K50" s="439" t="str">
        <f t="shared" si="3"/>
        <v/>
      </c>
      <c r="L50" s="440"/>
      <c r="M50" s="439" t="str">
        <f>IF(ISBLANK(A50),"",VLOOKUP(B50,Ceilings!$A$4:$F$206,5,0))</f>
        <v/>
      </c>
      <c r="N50" s="439" t="str">
        <f t="shared" si="4"/>
        <v/>
      </c>
      <c r="O50" s="440"/>
      <c r="P50" s="439" t="str">
        <f>IF(ISBLANK(A50),"",VLOOKUP(B50,Ceilings!$A$4:$F$206,6,0))</f>
        <v/>
      </c>
      <c r="Q50" s="282" t="str">
        <f t="shared" si="5"/>
        <v/>
      </c>
    </row>
    <row r="51" spans="1:17">
      <c r="A51" s="434"/>
      <c r="B51" s="435" t="str">
        <f>IF(ISBLANK(A51),"",VLOOKUP(A51,Management!$A$6:$C$20,2,0))</f>
        <v/>
      </c>
      <c r="C51" s="436"/>
      <c r="D51" s="116" t="str">
        <f t="shared" si="0"/>
        <v/>
      </c>
      <c r="E51" s="437" t="str">
        <f t="shared" si="1"/>
        <v/>
      </c>
      <c r="F51" s="438"/>
      <c r="G51" s="439" t="str">
        <f>IF(ISBLANK(A51),"",VLOOKUP(B51,Ceilings!$A$4:$F$206,3,0))</f>
        <v/>
      </c>
      <c r="H51" s="439" t="str">
        <f t="shared" si="2"/>
        <v/>
      </c>
      <c r="I51" s="440"/>
      <c r="J51" s="439" t="str">
        <f>IF(ISBLANK(A51),"",VLOOKUP(B51,Ceilings!$A$4:$F$206,4,0))</f>
        <v/>
      </c>
      <c r="K51" s="439" t="str">
        <f t="shared" si="3"/>
        <v/>
      </c>
      <c r="L51" s="440"/>
      <c r="M51" s="439" t="str">
        <f>IF(ISBLANK(A51),"",VLOOKUP(B51,Ceilings!$A$4:$F$206,5,0))</f>
        <v/>
      </c>
      <c r="N51" s="439" t="str">
        <f t="shared" si="4"/>
        <v/>
      </c>
      <c r="O51" s="440"/>
      <c r="P51" s="439" t="str">
        <f>IF(ISBLANK(A51),"",VLOOKUP(B51,Ceilings!$A$4:$F$206,6,0))</f>
        <v/>
      </c>
      <c r="Q51" s="282" t="str">
        <f t="shared" si="5"/>
        <v/>
      </c>
    </row>
    <row r="52" spans="1:17">
      <c r="A52" s="434"/>
      <c r="B52" s="435" t="str">
        <f>IF(ISBLANK(A52),"",VLOOKUP(A52,Management!$A$6:$C$20,2,0))</f>
        <v/>
      </c>
      <c r="C52" s="436"/>
      <c r="D52" s="116" t="str">
        <f t="shared" si="0"/>
        <v/>
      </c>
      <c r="E52" s="437" t="str">
        <f t="shared" si="1"/>
        <v/>
      </c>
      <c r="F52" s="438"/>
      <c r="G52" s="439" t="str">
        <f>IF(ISBLANK(A52),"",VLOOKUP(B52,Ceilings!$A$4:$F$206,3,0))</f>
        <v/>
      </c>
      <c r="H52" s="439" t="str">
        <f t="shared" si="2"/>
        <v/>
      </c>
      <c r="I52" s="440"/>
      <c r="J52" s="439" t="str">
        <f>IF(ISBLANK(A52),"",VLOOKUP(B52,Ceilings!$A$4:$F$206,4,0))</f>
        <v/>
      </c>
      <c r="K52" s="439" t="str">
        <f t="shared" si="3"/>
        <v/>
      </c>
      <c r="L52" s="440"/>
      <c r="M52" s="439" t="str">
        <f>IF(ISBLANK(A52),"",VLOOKUP(B52,Ceilings!$A$4:$F$206,5,0))</f>
        <v/>
      </c>
      <c r="N52" s="439" t="str">
        <f t="shared" si="4"/>
        <v/>
      </c>
      <c r="O52" s="440"/>
      <c r="P52" s="439" t="str">
        <f>IF(ISBLANK(A52),"",VLOOKUP(B52,Ceilings!$A$4:$F$206,6,0))</f>
        <v/>
      </c>
      <c r="Q52" s="282" t="str">
        <f t="shared" si="5"/>
        <v/>
      </c>
    </row>
    <row r="53" spans="1:17">
      <c r="A53" s="434"/>
      <c r="B53" s="435" t="str">
        <f>IF(ISBLANK(A53),"",VLOOKUP(A53,Management!$A$6:$C$20,2,0))</f>
        <v/>
      </c>
      <c r="C53" s="436"/>
      <c r="D53" s="116" t="str">
        <f t="shared" si="0"/>
        <v/>
      </c>
      <c r="E53" s="437" t="str">
        <f t="shared" si="1"/>
        <v/>
      </c>
      <c r="F53" s="438"/>
      <c r="G53" s="439" t="str">
        <f>IF(ISBLANK(A53),"",VLOOKUP(B53,Ceilings!$A$4:$F$206,3,0))</f>
        <v/>
      </c>
      <c r="H53" s="439" t="str">
        <f t="shared" si="2"/>
        <v/>
      </c>
      <c r="I53" s="440"/>
      <c r="J53" s="439" t="str">
        <f>IF(ISBLANK(A53),"",VLOOKUP(B53,Ceilings!$A$4:$F$206,4,0))</f>
        <v/>
      </c>
      <c r="K53" s="439" t="str">
        <f t="shared" si="3"/>
        <v/>
      </c>
      <c r="L53" s="440"/>
      <c r="M53" s="439" t="str">
        <f>IF(ISBLANK(A53),"",VLOOKUP(B53,Ceilings!$A$4:$F$206,5,0))</f>
        <v/>
      </c>
      <c r="N53" s="439" t="str">
        <f t="shared" si="4"/>
        <v/>
      </c>
      <c r="O53" s="440"/>
      <c r="P53" s="439" t="str">
        <f>IF(ISBLANK(A53),"",VLOOKUP(B53,Ceilings!$A$4:$F$206,6,0))</f>
        <v/>
      </c>
      <c r="Q53" s="282" t="str">
        <f t="shared" si="5"/>
        <v/>
      </c>
    </row>
    <row r="54" spans="1:17">
      <c r="A54" s="434"/>
      <c r="B54" s="435" t="str">
        <f>IF(ISBLANK(A54),"",VLOOKUP(A54,Management!$A$6:$C$20,2,0))</f>
        <v/>
      </c>
      <c r="C54" s="436"/>
      <c r="D54" s="116" t="str">
        <f t="shared" si="0"/>
        <v/>
      </c>
      <c r="E54" s="437" t="str">
        <f t="shared" si="1"/>
        <v/>
      </c>
      <c r="F54" s="438"/>
      <c r="G54" s="439" t="str">
        <f>IF(ISBLANK(A54),"",VLOOKUP(B54,Ceilings!$A$4:$F$206,3,0))</f>
        <v/>
      </c>
      <c r="H54" s="439" t="str">
        <f t="shared" si="2"/>
        <v/>
      </c>
      <c r="I54" s="440"/>
      <c r="J54" s="439" t="str">
        <f>IF(ISBLANK(A54),"",VLOOKUP(B54,Ceilings!$A$4:$F$206,4,0))</f>
        <v/>
      </c>
      <c r="K54" s="439" t="str">
        <f t="shared" si="3"/>
        <v/>
      </c>
      <c r="L54" s="440"/>
      <c r="M54" s="439" t="str">
        <f>IF(ISBLANK(A54),"",VLOOKUP(B54,Ceilings!$A$4:$F$206,5,0))</f>
        <v/>
      </c>
      <c r="N54" s="439" t="str">
        <f t="shared" si="4"/>
        <v/>
      </c>
      <c r="O54" s="440"/>
      <c r="P54" s="439" t="str">
        <f>IF(ISBLANK(A54),"",VLOOKUP(B54,Ceilings!$A$4:$F$206,6,0))</f>
        <v/>
      </c>
      <c r="Q54" s="282" t="str">
        <f t="shared" si="5"/>
        <v/>
      </c>
    </row>
    <row r="55" spans="1:17">
      <c r="A55" s="434"/>
      <c r="B55" s="435" t="str">
        <f>IF(ISBLANK(A55),"",VLOOKUP(A55,Management!$A$6:$C$20,2,0))</f>
        <v/>
      </c>
      <c r="C55" s="436"/>
      <c r="D55" s="116" t="str">
        <f t="shared" si="0"/>
        <v/>
      </c>
      <c r="E55" s="437" t="str">
        <f t="shared" si="1"/>
        <v/>
      </c>
      <c r="F55" s="438"/>
      <c r="G55" s="439" t="str">
        <f>IF(ISBLANK(A55),"",VLOOKUP(B55,Ceilings!$A$4:$F$206,3,0))</f>
        <v/>
      </c>
      <c r="H55" s="439" t="str">
        <f t="shared" si="2"/>
        <v/>
      </c>
      <c r="I55" s="440"/>
      <c r="J55" s="439" t="str">
        <f>IF(ISBLANK(A55),"",VLOOKUP(B55,Ceilings!$A$4:$F$206,4,0))</f>
        <v/>
      </c>
      <c r="K55" s="439" t="str">
        <f t="shared" si="3"/>
        <v/>
      </c>
      <c r="L55" s="440"/>
      <c r="M55" s="439" t="str">
        <f>IF(ISBLANK(A55),"",VLOOKUP(B55,Ceilings!$A$4:$F$206,5,0))</f>
        <v/>
      </c>
      <c r="N55" s="439" t="str">
        <f t="shared" si="4"/>
        <v/>
      </c>
      <c r="O55" s="440"/>
      <c r="P55" s="439" t="str">
        <f>IF(ISBLANK(A55),"",VLOOKUP(B55,Ceilings!$A$4:$F$206,6,0))</f>
        <v/>
      </c>
      <c r="Q55" s="282" t="str">
        <f t="shared" si="5"/>
        <v/>
      </c>
    </row>
    <row r="56" spans="1:17">
      <c r="A56" s="434"/>
      <c r="B56" s="435" t="str">
        <f>IF(ISBLANK(A56),"",VLOOKUP(A56,Management!$A$6:$C$20,2,0))</f>
        <v/>
      </c>
      <c r="C56" s="436"/>
      <c r="D56" s="116" t="str">
        <f t="shared" si="0"/>
        <v/>
      </c>
      <c r="E56" s="437" t="str">
        <f t="shared" si="1"/>
        <v/>
      </c>
      <c r="F56" s="438"/>
      <c r="G56" s="439" t="str">
        <f>IF(ISBLANK(A56),"",VLOOKUP(B56,Ceilings!$A$4:$F$206,3,0))</f>
        <v/>
      </c>
      <c r="H56" s="439" t="str">
        <f t="shared" si="2"/>
        <v/>
      </c>
      <c r="I56" s="440"/>
      <c r="J56" s="439" t="str">
        <f>IF(ISBLANK(A56),"",VLOOKUP(B56,Ceilings!$A$4:$F$206,4,0))</f>
        <v/>
      </c>
      <c r="K56" s="439" t="str">
        <f t="shared" si="3"/>
        <v/>
      </c>
      <c r="L56" s="440"/>
      <c r="M56" s="439" t="str">
        <f>IF(ISBLANK(A56),"",VLOOKUP(B56,Ceilings!$A$4:$F$206,5,0))</f>
        <v/>
      </c>
      <c r="N56" s="439" t="str">
        <f t="shared" si="4"/>
        <v/>
      </c>
      <c r="O56" s="440"/>
      <c r="P56" s="439" t="str">
        <f>IF(ISBLANK(A56),"",VLOOKUP(B56,Ceilings!$A$4:$F$206,6,0))</f>
        <v/>
      </c>
      <c r="Q56" s="282" t="str">
        <f t="shared" si="5"/>
        <v/>
      </c>
    </row>
    <row r="57" spans="1:17">
      <c r="A57" s="434"/>
      <c r="B57" s="435" t="str">
        <f>IF(ISBLANK(A57),"",VLOOKUP(A57,Management!$A$6:$C$20,2,0))</f>
        <v/>
      </c>
      <c r="C57" s="436"/>
      <c r="D57" s="116" t="str">
        <f t="shared" si="0"/>
        <v/>
      </c>
      <c r="E57" s="437" t="str">
        <f t="shared" si="1"/>
        <v/>
      </c>
      <c r="F57" s="438"/>
      <c r="G57" s="439" t="str">
        <f>IF(ISBLANK(A57),"",VLOOKUP(B57,Ceilings!$A$4:$F$206,3,0))</f>
        <v/>
      </c>
      <c r="H57" s="439" t="str">
        <f t="shared" si="2"/>
        <v/>
      </c>
      <c r="I57" s="440"/>
      <c r="J57" s="439" t="str">
        <f>IF(ISBLANK(A57),"",VLOOKUP(B57,Ceilings!$A$4:$F$206,4,0))</f>
        <v/>
      </c>
      <c r="K57" s="439" t="str">
        <f t="shared" si="3"/>
        <v/>
      </c>
      <c r="L57" s="440"/>
      <c r="M57" s="439" t="str">
        <f>IF(ISBLANK(A57),"",VLOOKUP(B57,Ceilings!$A$4:$F$206,5,0))</f>
        <v/>
      </c>
      <c r="N57" s="439" t="str">
        <f t="shared" si="4"/>
        <v/>
      </c>
      <c r="O57" s="440"/>
      <c r="P57" s="439" t="str">
        <f>IF(ISBLANK(A57),"",VLOOKUP(B57,Ceilings!$A$4:$F$206,6,0))</f>
        <v/>
      </c>
      <c r="Q57" s="282" t="str">
        <f t="shared" si="5"/>
        <v/>
      </c>
    </row>
    <row r="58" spans="1:17">
      <c r="A58" s="434"/>
      <c r="B58" s="435" t="str">
        <f>IF(ISBLANK(A58),"",VLOOKUP(A58,Management!$A$6:$C$20,2,0))</f>
        <v/>
      </c>
      <c r="C58" s="436"/>
      <c r="D58" s="116" t="str">
        <f t="shared" si="0"/>
        <v/>
      </c>
      <c r="E58" s="437" t="str">
        <f t="shared" si="1"/>
        <v/>
      </c>
      <c r="F58" s="438"/>
      <c r="G58" s="439" t="str">
        <f>IF(ISBLANK(A58),"",VLOOKUP(B58,Ceilings!$A$4:$F$206,3,0))</f>
        <v/>
      </c>
      <c r="H58" s="439" t="str">
        <f t="shared" si="2"/>
        <v/>
      </c>
      <c r="I58" s="440"/>
      <c r="J58" s="439" t="str">
        <f>IF(ISBLANK(A58),"",VLOOKUP(B58,Ceilings!$A$4:$F$206,4,0))</f>
        <v/>
      </c>
      <c r="K58" s="439" t="str">
        <f t="shared" si="3"/>
        <v/>
      </c>
      <c r="L58" s="440"/>
      <c r="M58" s="439" t="str">
        <f>IF(ISBLANK(A58),"",VLOOKUP(B58,Ceilings!$A$4:$F$206,5,0))</f>
        <v/>
      </c>
      <c r="N58" s="439" t="str">
        <f t="shared" si="4"/>
        <v/>
      </c>
      <c r="O58" s="440"/>
      <c r="P58" s="439" t="str">
        <f>IF(ISBLANK(A58),"",VLOOKUP(B58,Ceilings!$A$4:$F$206,6,0))</f>
        <v/>
      </c>
      <c r="Q58" s="282" t="str">
        <f t="shared" si="5"/>
        <v/>
      </c>
    </row>
    <row r="59" spans="1:17">
      <c r="A59" s="434"/>
      <c r="B59" s="435" t="str">
        <f>IF(ISBLANK(A59),"",VLOOKUP(A59,Management!$A$6:$C$20,2,0))</f>
        <v/>
      </c>
      <c r="C59" s="436"/>
      <c r="D59" s="116" t="str">
        <f t="shared" si="0"/>
        <v/>
      </c>
      <c r="E59" s="437" t="str">
        <f t="shared" si="1"/>
        <v/>
      </c>
      <c r="F59" s="438"/>
      <c r="G59" s="439" t="str">
        <f>IF(ISBLANK(A59),"",VLOOKUP(B59,Ceilings!$A$4:$F$206,3,0))</f>
        <v/>
      </c>
      <c r="H59" s="439" t="str">
        <f t="shared" si="2"/>
        <v/>
      </c>
      <c r="I59" s="440"/>
      <c r="J59" s="439" t="str">
        <f>IF(ISBLANK(A59),"",VLOOKUP(B59,Ceilings!$A$4:$F$206,4,0))</f>
        <v/>
      </c>
      <c r="K59" s="439" t="str">
        <f t="shared" si="3"/>
        <v/>
      </c>
      <c r="L59" s="440"/>
      <c r="M59" s="439" t="str">
        <f>IF(ISBLANK(A59),"",VLOOKUP(B59,Ceilings!$A$4:$F$206,5,0))</f>
        <v/>
      </c>
      <c r="N59" s="439" t="str">
        <f t="shared" si="4"/>
        <v/>
      </c>
      <c r="O59" s="440"/>
      <c r="P59" s="439" t="str">
        <f>IF(ISBLANK(A59),"",VLOOKUP(B59,Ceilings!$A$4:$F$206,6,0))</f>
        <v/>
      </c>
      <c r="Q59" s="282" t="str">
        <f t="shared" si="5"/>
        <v/>
      </c>
    </row>
    <row r="60" spans="1:17">
      <c r="A60" s="434"/>
      <c r="B60" s="435" t="str">
        <f>IF(ISBLANK(A60),"",VLOOKUP(A60,Management!$A$6:$C$20,2,0))</f>
        <v/>
      </c>
      <c r="C60" s="436"/>
      <c r="D60" s="116" t="str">
        <f t="shared" si="0"/>
        <v/>
      </c>
      <c r="E60" s="437" t="str">
        <f t="shared" si="1"/>
        <v/>
      </c>
      <c r="F60" s="438"/>
      <c r="G60" s="439" t="str">
        <f>IF(ISBLANK(A60),"",VLOOKUP(B60,Ceilings!$A$4:$F$206,3,0))</f>
        <v/>
      </c>
      <c r="H60" s="439" t="str">
        <f t="shared" si="2"/>
        <v/>
      </c>
      <c r="I60" s="440"/>
      <c r="J60" s="439" t="str">
        <f>IF(ISBLANK(A60),"",VLOOKUP(B60,Ceilings!$A$4:$F$206,4,0))</f>
        <v/>
      </c>
      <c r="K60" s="439" t="str">
        <f t="shared" si="3"/>
        <v/>
      </c>
      <c r="L60" s="440"/>
      <c r="M60" s="439" t="str">
        <f>IF(ISBLANK(A60),"",VLOOKUP(B60,Ceilings!$A$4:$F$206,5,0))</f>
        <v/>
      </c>
      <c r="N60" s="439" t="str">
        <f t="shared" si="4"/>
        <v/>
      </c>
      <c r="O60" s="440"/>
      <c r="P60" s="439" t="str">
        <f>IF(ISBLANK(A60),"",VLOOKUP(B60,Ceilings!$A$4:$F$206,6,0))</f>
        <v/>
      </c>
      <c r="Q60" s="282" t="str">
        <f t="shared" si="5"/>
        <v/>
      </c>
    </row>
    <row r="61" spans="1:17">
      <c r="A61" s="434"/>
      <c r="B61" s="435" t="str">
        <f>IF(ISBLANK(A61),"",VLOOKUP(A61,Management!$A$6:$C$20,2,0))</f>
        <v/>
      </c>
      <c r="C61" s="436"/>
      <c r="D61" s="116" t="str">
        <f t="shared" si="0"/>
        <v/>
      </c>
      <c r="E61" s="437" t="str">
        <f t="shared" si="1"/>
        <v/>
      </c>
      <c r="F61" s="438"/>
      <c r="G61" s="439" t="str">
        <f>IF(ISBLANK(A61),"",VLOOKUP(B61,Ceilings!$A$4:$F$206,3,0))</f>
        <v/>
      </c>
      <c r="H61" s="439" t="str">
        <f t="shared" si="2"/>
        <v/>
      </c>
      <c r="I61" s="440"/>
      <c r="J61" s="439" t="str">
        <f>IF(ISBLANK(A61),"",VLOOKUP(B61,Ceilings!$A$4:$F$206,4,0))</f>
        <v/>
      </c>
      <c r="K61" s="439" t="str">
        <f t="shared" si="3"/>
        <v/>
      </c>
      <c r="L61" s="440"/>
      <c r="M61" s="439" t="str">
        <f>IF(ISBLANK(A61),"",VLOOKUP(B61,Ceilings!$A$4:$F$206,5,0))</f>
        <v/>
      </c>
      <c r="N61" s="439" t="str">
        <f t="shared" si="4"/>
        <v/>
      </c>
      <c r="O61" s="440"/>
      <c r="P61" s="439" t="str">
        <f>IF(ISBLANK(A61),"",VLOOKUP(B61,Ceilings!$A$4:$F$206,6,0))</f>
        <v/>
      </c>
      <c r="Q61" s="282" t="str">
        <f t="shared" si="5"/>
        <v/>
      </c>
    </row>
    <row r="62" spans="1:17">
      <c r="A62" s="434"/>
      <c r="B62" s="435" t="str">
        <f>IF(ISBLANK(A62),"",VLOOKUP(A62,Management!$A$6:$C$20,2,0))</f>
        <v/>
      </c>
      <c r="C62" s="436"/>
      <c r="D62" s="116" t="str">
        <f t="shared" si="0"/>
        <v/>
      </c>
      <c r="E62" s="437" t="str">
        <f t="shared" si="1"/>
        <v/>
      </c>
      <c r="F62" s="438"/>
      <c r="G62" s="439" t="str">
        <f>IF(ISBLANK(A62),"",VLOOKUP(B62,Ceilings!$A$4:$F$206,3,0))</f>
        <v/>
      </c>
      <c r="H62" s="439" t="str">
        <f t="shared" si="2"/>
        <v/>
      </c>
      <c r="I62" s="440"/>
      <c r="J62" s="439" t="str">
        <f>IF(ISBLANK(A62),"",VLOOKUP(B62,Ceilings!$A$4:$F$206,4,0))</f>
        <v/>
      </c>
      <c r="K62" s="439" t="str">
        <f t="shared" si="3"/>
        <v/>
      </c>
      <c r="L62" s="440"/>
      <c r="M62" s="439" t="str">
        <f>IF(ISBLANK(A62),"",VLOOKUP(B62,Ceilings!$A$4:$F$206,5,0))</f>
        <v/>
      </c>
      <c r="N62" s="439" t="str">
        <f t="shared" si="4"/>
        <v/>
      </c>
      <c r="O62" s="440"/>
      <c r="P62" s="439" t="str">
        <f>IF(ISBLANK(A62),"",VLOOKUP(B62,Ceilings!$A$4:$F$206,6,0))</f>
        <v/>
      </c>
      <c r="Q62" s="282" t="str">
        <f t="shared" si="5"/>
        <v/>
      </c>
    </row>
    <row r="63" spans="1:17">
      <c r="A63" s="434"/>
      <c r="B63" s="435" t="str">
        <f>IF(ISBLANK(A63),"",VLOOKUP(A63,Management!$A$6:$C$20,2,0))</f>
        <v/>
      </c>
      <c r="C63" s="436"/>
      <c r="D63" s="116" t="str">
        <f t="shared" si="0"/>
        <v/>
      </c>
      <c r="E63" s="437" t="str">
        <f t="shared" si="1"/>
        <v/>
      </c>
      <c r="F63" s="438"/>
      <c r="G63" s="439" t="str">
        <f>IF(ISBLANK(A63),"",VLOOKUP(B63,Ceilings!$A$4:$F$206,3,0))</f>
        <v/>
      </c>
      <c r="H63" s="439" t="str">
        <f t="shared" si="2"/>
        <v/>
      </c>
      <c r="I63" s="440"/>
      <c r="J63" s="439" t="str">
        <f>IF(ISBLANK(A63),"",VLOOKUP(B63,Ceilings!$A$4:$F$206,4,0))</f>
        <v/>
      </c>
      <c r="K63" s="439" t="str">
        <f t="shared" si="3"/>
        <v/>
      </c>
      <c r="L63" s="440"/>
      <c r="M63" s="439" t="str">
        <f>IF(ISBLANK(A63),"",VLOOKUP(B63,Ceilings!$A$4:$F$206,5,0))</f>
        <v/>
      </c>
      <c r="N63" s="439" t="str">
        <f t="shared" si="4"/>
        <v/>
      </c>
      <c r="O63" s="440"/>
      <c r="P63" s="439" t="str">
        <f>IF(ISBLANK(A63),"",VLOOKUP(B63,Ceilings!$A$4:$F$206,6,0))</f>
        <v/>
      </c>
      <c r="Q63" s="282" t="str">
        <f t="shared" si="5"/>
        <v/>
      </c>
    </row>
    <row r="64" spans="1:17">
      <c r="A64" s="434"/>
      <c r="B64" s="435" t="str">
        <f>IF(ISBLANK(A64),"",VLOOKUP(A64,Management!$A$6:$C$20,2,0))</f>
        <v/>
      </c>
      <c r="C64" s="436"/>
      <c r="D64" s="116" t="str">
        <f t="shared" si="0"/>
        <v/>
      </c>
      <c r="E64" s="437" t="str">
        <f t="shared" si="1"/>
        <v/>
      </c>
      <c r="F64" s="438"/>
      <c r="G64" s="439" t="str">
        <f>IF(ISBLANK(A64),"",VLOOKUP(B64,Ceilings!$A$4:$F$206,3,0))</f>
        <v/>
      </c>
      <c r="H64" s="439" t="str">
        <f t="shared" si="2"/>
        <v/>
      </c>
      <c r="I64" s="440"/>
      <c r="J64" s="439" t="str">
        <f>IF(ISBLANK(A64),"",VLOOKUP(B64,Ceilings!$A$4:$F$206,4,0))</f>
        <v/>
      </c>
      <c r="K64" s="439" t="str">
        <f t="shared" si="3"/>
        <v/>
      </c>
      <c r="L64" s="440"/>
      <c r="M64" s="439" t="str">
        <f>IF(ISBLANK(A64),"",VLOOKUP(B64,Ceilings!$A$4:$F$206,5,0))</f>
        <v/>
      </c>
      <c r="N64" s="439" t="str">
        <f t="shared" si="4"/>
        <v/>
      </c>
      <c r="O64" s="440"/>
      <c r="P64" s="439" t="str">
        <f>IF(ISBLANK(A64),"",VLOOKUP(B64,Ceilings!$A$4:$F$206,6,0))</f>
        <v/>
      </c>
      <c r="Q64" s="282" t="str">
        <f t="shared" si="5"/>
        <v/>
      </c>
    </row>
    <row r="65" spans="1:17">
      <c r="A65" s="434"/>
      <c r="B65" s="435" t="str">
        <f>IF(ISBLANK(A65),"",VLOOKUP(A65,Management!$A$6:$C$20,2,0))</f>
        <v/>
      </c>
      <c r="C65" s="436"/>
      <c r="D65" s="116" t="str">
        <f t="shared" si="0"/>
        <v/>
      </c>
      <c r="E65" s="437" t="str">
        <f t="shared" si="1"/>
        <v/>
      </c>
      <c r="F65" s="438"/>
      <c r="G65" s="439" t="str">
        <f>IF(ISBLANK(A65),"",VLOOKUP(B65,Ceilings!$A$4:$F$206,3,0))</f>
        <v/>
      </c>
      <c r="H65" s="439" t="str">
        <f t="shared" si="2"/>
        <v/>
      </c>
      <c r="I65" s="440"/>
      <c r="J65" s="439" t="str">
        <f>IF(ISBLANK(A65),"",VLOOKUP(B65,Ceilings!$A$4:$F$206,4,0))</f>
        <v/>
      </c>
      <c r="K65" s="439" t="str">
        <f t="shared" si="3"/>
        <v/>
      </c>
      <c r="L65" s="440"/>
      <c r="M65" s="439" t="str">
        <f>IF(ISBLANK(A65),"",VLOOKUP(B65,Ceilings!$A$4:$F$206,5,0))</f>
        <v/>
      </c>
      <c r="N65" s="439" t="str">
        <f t="shared" si="4"/>
        <v/>
      </c>
      <c r="O65" s="440"/>
      <c r="P65" s="439" t="str">
        <f>IF(ISBLANK(A65),"",VLOOKUP(B65,Ceilings!$A$4:$F$206,6,0))</f>
        <v/>
      </c>
      <c r="Q65" s="282" t="str">
        <f t="shared" si="5"/>
        <v/>
      </c>
    </row>
    <row r="66" spans="1:17">
      <c r="A66" s="434"/>
      <c r="B66" s="435" t="str">
        <f>IF(ISBLANK(A66),"",VLOOKUP(A66,Management!$A$6:$C$20,2,0))</f>
        <v/>
      </c>
      <c r="C66" s="436"/>
      <c r="D66" s="116" t="str">
        <f t="shared" si="0"/>
        <v/>
      </c>
      <c r="E66" s="437" t="str">
        <f t="shared" si="1"/>
        <v/>
      </c>
      <c r="F66" s="438"/>
      <c r="G66" s="439" t="str">
        <f>IF(ISBLANK(A66),"",VLOOKUP(B66,Ceilings!$A$4:$F$206,3,0))</f>
        <v/>
      </c>
      <c r="H66" s="439" t="str">
        <f t="shared" si="2"/>
        <v/>
      </c>
      <c r="I66" s="440"/>
      <c r="J66" s="439" t="str">
        <f>IF(ISBLANK(A66),"",VLOOKUP(B66,Ceilings!$A$4:$F$206,4,0))</f>
        <v/>
      </c>
      <c r="K66" s="439" t="str">
        <f t="shared" si="3"/>
        <v/>
      </c>
      <c r="L66" s="440"/>
      <c r="M66" s="439" t="str">
        <f>IF(ISBLANK(A66),"",VLOOKUP(B66,Ceilings!$A$4:$F$206,5,0))</f>
        <v/>
      </c>
      <c r="N66" s="439" t="str">
        <f t="shared" si="4"/>
        <v/>
      </c>
      <c r="O66" s="440"/>
      <c r="P66" s="439" t="str">
        <f>IF(ISBLANK(A66),"",VLOOKUP(B66,Ceilings!$A$4:$F$206,6,0))</f>
        <v/>
      </c>
      <c r="Q66" s="282" t="str">
        <f t="shared" si="5"/>
        <v/>
      </c>
    </row>
    <row r="67" spans="1:17">
      <c r="A67" s="434"/>
      <c r="B67" s="435" t="str">
        <f>IF(ISBLANK(A67),"",VLOOKUP(A67,Management!$A$6:$C$20,2,0))</f>
        <v/>
      </c>
      <c r="C67" s="436"/>
      <c r="D67" s="116" t="str">
        <f t="shared" si="0"/>
        <v/>
      </c>
      <c r="E67" s="437" t="str">
        <f t="shared" si="1"/>
        <v/>
      </c>
      <c r="F67" s="438"/>
      <c r="G67" s="439" t="str">
        <f>IF(ISBLANK(A67),"",VLOOKUP(B67,Ceilings!$A$4:$F$206,3,0))</f>
        <v/>
      </c>
      <c r="H67" s="439" t="str">
        <f t="shared" si="2"/>
        <v/>
      </c>
      <c r="I67" s="440"/>
      <c r="J67" s="439" t="str">
        <f>IF(ISBLANK(A67),"",VLOOKUP(B67,Ceilings!$A$4:$F$206,4,0))</f>
        <v/>
      </c>
      <c r="K67" s="439" t="str">
        <f t="shared" si="3"/>
        <v/>
      </c>
      <c r="L67" s="440"/>
      <c r="M67" s="439" t="str">
        <f>IF(ISBLANK(A67),"",VLOOKUP(B67,Ceilings!$A$4:$F$206,5,0))</f>
        <v/>
      </c>
      <c r="N67" s="439" t="str">
        <f t="shared" si="4"/>
        <v/>
      </c>
      <c r="O67" s="440"/>
      <c r="P67" s="439" t="str">
        <f>IF(ISBLANK(A67),"",VLOOKUP(B67,Ceilings!$A$4:$F$206,6,0))</f>
        <v/>
      </c>
      <c r="Q67" s="282" t="str">
        <f t="shared" si="5"/>
        <v/>
      </c>
    </row>
    <row r="68" spans="1:17">
      <c r="A68" s="434"/>
      <c r="B68" s="435" t="str">
        <f>IF(ISBLANK(A68),"",VLOOKUP(A68,Management!$A$6:$C$20,2,0))</f>
        <v/>
      </c>
      <c r="C68" s="436"/>
      <c r="D68" s="116" t="str">
        <f t="shared" si="0"/>
        <v/>
      </c>
      <c r="E68" s="437" t="str">
        <f t="shared" si="1"/>
        <v/>
      </c>
      <c r="F68" s="438"/>
      <c r="G68" s="439" t="str">
        <f>IF(ISBLANK(A68),"",VLOOKUP(B68,Ceilings!$A$4:$F$206,3,0))</f>
        <v/>
      </c>
      <c r="H68" s="439" t="str">
        <f t="shared" si="2"/>
        <v/>
      </c>
      <c r="I68" s="440"/>
      <c r="J68" s="439" t="str">
        <f>IF(ISBLANK(A68),"",VLOOKUP(B68,Ceilings!$A$4:$F$206,4,0))</f>
        <v/>
      </c>
      <c r="K68" s="439" t="str">
        <f t="shared" si="3"/>
        <v/>
      </c>
      <c r="L68" s="440"/>
      <c r="M68" s="439" t="str">
        <f>IF(ISBLANK(A68),"",VLOOKUP(B68,Ceilings!$A$4:$F$206,5,0))</f>
        <v/>
      </c>
      <c r="N68" s="439" t="str">
        <f t="shared" si="4"/>
        <v/>
      </c>
      <c r="O68" s="440"/>
      <c r="P68" s="439" t="str">
        <f>IF(ISBLANK(A68),"",VLOOKUP(B68,Ceilings!$A$4:$F$206,6,0))</f>
        <v/>
      </c>
      <c r="Q68" s="282" t="str">
        <f t="shared" si="5"/>
        <v/>
      </c>
    </row>
    <row r="69" spans="1:17">
      <c r="A69" s="434"/>
      <c r="B69" s="435" t="str">
        <f>IF(ISBLANK(A69),"",VLOOKUP(A69,Management!$A$6:$C$20,2,0))</f>
        <v/>
      </c>
      <c r="C69" s="436"/>
      <c r="D69" s="116" t="str">
        <f t="shared" si="0"/>
        <v/>
      </c>
      <c r="E69" s="437" t="str">
        <f t="shared" si="1"/>
        <v/>
      </c>
      <c r="F69" s="438"/>
      <c r="G69" s="439" t="str">
        <f>IF(ISBLANK(A69),"",VLOOKUP(B69,Ceilings!$A$4:$F$206,3,0))</f>
        <v/>
      </c>
      <c r="H69" s="439" t="str">
        <f t="shared" si="2"/>
        <v/>
      </c>
      <c r="I69" s="440"/>
      <c r="J69" s="439" t="str">
        <f>IF(ISBLANK(A69),"",VLOOKUP(B69,Ceilings!$A$4:$F$206,4,0))</f>
        <v/>
      </c>
      <c r="K69" s="439" t="str">
        <f t="shared" si="3"/>
        <v/>
      </c>
      <c r="L69" s="440"/>
      <c r="M69" s="439" t="str">
        <f>IF(ISBLANK(A69),"",VLOOKUP(B69,Ceilings!$A$4:$F$206,5,0))</f>
        <v/>
      </c>
      <c r="N69" s="439" t="str">
        <f t="shared" si="4"/>
        <v/>
      </c>
      <c r="O69" s="440"/>
      <c r="P69" s="439" t="str">
        <f>IF(ISBLANK(A69),"",VLOOKUP(B69,Ceilings!$A$4:$F$206,6,0))</f>
        <v/>
      </c>
      <c r="Q69" s="282" t="str">
        <f t="shared" si="5"/>
        <v/>
      </c>
    </row>
    <row r="70" spans="1:17">
      <c r="A70" s="434"/>
      <c r="B70" s="435" t="str">
        <f>IF(ISBLANK(A70),"",VLOOKUP(A70,Management!$A$6:$C$20,2,0))</f>
        <v/>
      </c>
      <c r="C70" s="436"/>
      <c r="D70" s="116" t="str">
        <f t="shared" si="0"/>
        <v/>
      </c>
      <c r="E70" s="437" t="str">
        <f t="shared" si="1"/>
        <v/>
      </c>
      <c r="F70" s="438"/>
      <c r="G70" s="439" t="str">
        <f>IF(ISBLANK(A70),"",VLOOKUP(B70,Ceilings!$A$4:$F$206,3,0))</f>
        <v/>
      </c>
      <c r="H70" s="439" t="str">
        <f t="shared" si="2"/>
        <v/>
      </c>
      <c r="I70" s="440"/>
      <c r="J70" s="439" t="str">
        <f>IF(ISBLANK(A70),"",VLOOKUP(B70,Ceilings!$A$4:$F$206,4,0))</f>
        <v/>
      </c>
      <c r="K70" s="439" t="str">
        <f t="shared" si="3"/>
        <v/>
      </c>
      <c r="L70" s="440"/>
      <c r="M70" s="439" t="str">
        <f>IF(ISBLANK(A70),"",VLOOKUP(B70,Ceilings!$A$4:$F$206,5,0))</f>
        <v/>
      </c>
      <c r="N70" s="439" t="str">
        <f t="shared" si="4"/>
        <v/>
      </c>
      <c r="O70" s="440"/>
      <c r="P70" s="439" t="str">
        <f>IF(ISBLANK(A70),"",VLOOKUP(B70,Ceilings!$A$4:$F$206,6,0))</f>
        <v/>
      </c>
      <c r="Q70" s="282" t="str">
        <f t="shared" si="5"/>
        <v/>
      </c>
    </row>
    <row r="71" spans="1:17">
      <c r="A71" s="434"/>
      <c r="B71" s="435" t="str">
        <f>IF(ISBLANK(A71),"",VLOOKUP(A71,Management!$A$6:$C$20,2,0))</f>
        <v/>
      </c>
      <c r="C71" s="436"/>
      <c r="D71" s="116" t="str">
        <f t="shared" si="0"/>
        <v/>
      </c>
      <c r="E71" s="437" t="str">
        <f t="shared" si="1"/>
        <v/>
      </c>
      <c r="F71" s="438"/>
      <c r="G71" s="439" t="str">
        <f>IF(ISBLANK(A71),"",VLOOKUP(B71,Ceilings!$A$4:$F$206,3,0))</f>
        <v/>
      </c>
      <c r="H71" s="439" t="str">
        <f t="shared" si="2"/>
        <v/>
      </c>
      <c r="I71" s="440"/>
      <c r="J71" s="439" t="str">
        <f>IF(ISBLANK(A71),"",VLOOKUP(B71,Ceilings!$A$4:$F$206,4,0))</f>
        <v/>
      </c>
      <c r="K71" s="439" t="str">
        <f t="shared" si="3"/>
        <v/>
      </c>
      <c r="L71" s="440"/>
      <c r="M71" s="439" t="str">
        <f>IF(ISBLANK(A71),"",VLOOKUP(B71,Ceilings!$A$4:$F$206,5,0))</f>
        <v/>
      </c>
      <c r="N71" s="439" t="str">
        <f t="shared" si="4"/>
        <v/>
      </c>
      <c r="O71" s="440"/>
      <c r="P71" s="439" t="str">
        <f>IF(ISBLANK(A71),"",VLOOKUP(B71,Ceilings!$A$4:$F$206,6,0))</f>
        <v/>
      </c>
      <c r="Q71" s="282" t="str">
        <f t="shared" si="5"/>
        <v/>
      </c>
    </row>
    <row r="72" spans="1:17">
      <c r="A72" s="434"/>
      <c r="B72" s="435" t="str">
        <f>IF(ISBLANK(A72),"",VLOOKUP(A72,Management!$A$6:$C$20,2,0))</f>
        <v/>
      </c>
      <c r="C72" s="436"/>
      <c r="D72" s="116" t="str">
        <f t="shared" si="0"/>
        <v/>
      </c>
      <c r="E72" s="437" t="str">
        <f t="shared" si="1"/>
        <v/>
      </c>
      <c r="F72" s="438"/>
      <c r="G72" s="439" t="str">
        <f>IF(ISBLANK(A72),"",VLOOKUP(B72,Ceilings!$A$4:$F$206,3,0))</f>
        <v/>
      </c>
      <c r="H72" s="439" t="str">
        <f t="shared" si="2"/>
        <v/>
      </c>
      <c r="I72" s="440"/>
      <c r="J72" s="439" t="str">
        <f>IF(ISBLANK(A72),"",VLOOKUP(B72,Ceilings!$A$4:$F$206,4,0))</f>
        <v/>
      </c>
      <c r="K72" s="439" t="str">
        <f t="shared" si="3"/>
        <v/>
      </c>
      <c r="L72" s="440"/>
      <c r="M72" s="439" t="str">
        <f>IF(ISBLANK(A72),"",VLOOKUP(B72,Ceilings!$A$4:$F$206,5,0))</f>
        <v/>
      </c>
      <c r="N72" s="439" t="str">
        <f t="shared" si="4"/>
        <v/>
      </c>
      <c r="O72" s="440"/>
      <c r="P72" s="439" t="str">
        <f>IF(ISBLANK(A72),"",VLOOKUP(B72,Ceilings!$A$4:$F$206,6,0))</f>
        <v/>
      </c>
      <c r="Q72" s="282" t="str">
        <f t="shared" si="5"/>
        <v/>
      </c>
    </row>
    <row r="73" spans="1:17">
      <c r="A73" s="434"/>
      <c r="B73" s="435" t="str">
        <f>IF(ISBLANK(A73),"",VLOOKUP(A73,Management!$A$6:$C$20,2,0))</f>
        <v/>
      </c>
      <c r="C73" s="436"/>
      <c r="D73" s="116" t="str">
        <f t="shared" ref="D73:D109" si="6">IF(ISBLANK(A73),"",SUM(F73,I73,L73,O73))</f>
        <v/>
      </c>
      <c r="E73" s="437" t="str">
        <f t="shared" ref="E73:E109" si="7">IF(ISBLANK(A73),"",IF(ISBLANK(C73),"Missing data",SUM(H73,K73,N73,Q73)))</f>
        <v/>
      </c>
      <c r="F73" s="438"/>
      <c r="G73" s="439" t="str">
        <f>IF(ISBLANK(A73),"",VLOOKUP(B73,Ceilings!$A$4:$F$206,3,0))</f>
        <v/>
      </c>
      <c r="H73" s="439" t="str">
        <f t="shared" ref="H73:H109" si="8">IF(ISBLANK($A73),"",F73*G73)</f>
        <v/>
      </c>
      <c r="I73" s="440"/>
      <c r="J73" s="439" t="str">
        <f>IF(ISBLANK(A73),"",VLOOKUP(B73,Ceilings!$A$4:$F$206,4,0))</f>
        <v/>
      </c>
      <c r="K73" s="439" t="str">
        <f t="shared" ref="K73:K109" si="9">IF(ISBLANK($A73),"",I73*J73)</f>
        <v/>
      </c>
      <c r="L73" s="440"/>
      <c r="M73" s="439" t="str">
        <f>IF(ISBLANK(A73),"",VLOOKUP(B73,Ceilings!$A$4:$F$206,5,0))</f>
        <v/>
      </c>
      <c r="N73" s="439" t="str">
        <f t="shared" ref="N73:N109" si="10">IF(ISBLANK($A73),"",L73*M73)</f>
        <v/>
      </c>
      <c r="O73" s="440"/>
      <c r="P73" s="439" t="str">
        <f>IF(ISBLANK(A73),"",VLOOKUP(B73,Ceilings!$A$4:$F$206,6,0))</f>
        <v/>
      </c>
      <c r="Q73" s="282" t="str">
        <f t="shared" ref="Q73:Q109" si="11">IF(ISBLANK($A73),"",O73*P73)</f>
        <v/>
      </c>
    </row>
    <row r="74" spans="1:17">
      <c r="A74" s="434"/>
      <c r="B74" s="435" t="str">
        <f>IF(ISBLANK(A74),"",VLOOKUP(A74,Management!$A$6:$C$20,2,0))</f>
        <v/>
      </c>
      <c r="C74" s="436"/>
      <c r="D74" s="116" t="str">
        <f t="shared" si="6"/>
        <v/>
      </c>
      <c r="E74" s="437" t="str">
        <f t="shared" si="7"/>
        <v/>
      </c>
      <c r="F74" s="438"/>
      <c r="G74" s="439" t="str">
        <f>IF(ISBLANK(A74),"",VLOOKUP(B74,Ceilings!$A$4:$F$206,3,0))</f>
        <v/>
      </c>
      <c r="H74" s="439" t="str">
        <f t="shared" si="8"/>
        <v/>
      </c>
      <c r="I74" s="440"/>
      <c r="J74" s="439" t="str">
        <f>IF(ISBLANK(A74),"",VLOOKUP(B74,Ceilings!$A$4:$F$206,4,0))</f>
        <v/>
      </c>
      <c r="K74" s="439" t="str">
        <f t="shared" si="9"/>
        <v/>
      </c>
      <c r="L74" s="440"/>
      <c r="M74" s="439" t="str">
        <f>IF(ISBLANK(A74),"",VLOOKUP(B74,Ceilings!$A$4:$F$206,5,0))</f>
        <v/>
      </c>
      <c r="N74" s="439" t="str">
        <f t="shared" si="10"/>
        <v/>
      </c>
      <c r="O74" s="440"/>
      <c r="P74" s="439" t="str">
        <f>IF(ISBLANK(A74),"",VLOOKUP(B74,Ceilings!$A$4:$F$206,6,0))</f>
        <v/>
      </c>
      <c r="Q74" s="282" t="str">
        <f t="shared" si="11"/>
        <v/>
      </c>
    </row>
    <row r="75" spans="1:17">
      <c r="A75" s="434"/>
      <c r="B75" s="435" t="str">
        <f>IF(ISBLANK(A75),"",VLOOKUP(A75,Management!$A$6:$C$20,2,0))</f>
        <v/>
      </c>
      <c r="C75" s="436"/>
      <c r="D75" s="116" t="str">
        <f t="shared" si="6"/>
        <v/>
      </c>
      <c r="E75" s="437" t="str">
        <f t="shared" si="7"/>
        <v/>
      </c>
      <c r="F75" s="438"/>
      <c r="G75" s="439" t="str">
        <f>IF(ISBLANK(A75),"",VLOOKUP(B75,Ceilings!$A$4:$F$206,3,0))</f>
        <v/>
      </c>
      <c r="H75" s="439" t="str">
        <f t="shared" si="8"/>
        <v/>
      </c>
      <c r="I75" s="440"/>
      <c r="J75" s="439" t="str">
        <f>IF(ISBLANK(A75),"",VLOOKUP(B75,Ceilings!$A$4:$F$206,4,0))</f>
        <v/>
      </c>
      <c r="K75" s="439" t="str">
        <f t="shared" si="9"/>
        <v/>
      </c>
      <c r="L75" s="440"/>
      <c r="M75" s="439" t="str">
        <f>IF(ISBLANK(A75),"",VLOOKUP(B75,Ceilings!$A$4:$F$206,5,0))</f>
        <v/>
      </c>
      <c r="N75" s="439" t="str">
        <f t="shared" si="10"/>
        <v/>
      </c>
      <c r="O75" s="440"/>
      <c r="P75" s="439" t="str">
        <f>IF(ISBLANK(A75),"",VLOOKUP(B75,Ceilings!$A$4:$F$206,6,0))</f>
        <v/>
      </c>
      <c r="Q75" s="282" t="str">
        <f t="shared" si="11"/>
        <v/>
      </c>
    </row>
    <row r="76" spans="1:17">
      <c r="A76" s="434"/>
      <c r="B76" s="435" t="str">
        <f>IF(ISBLANK(A76),"",VLOOKUP(A76,Management!$A$6:$C$20,2,0))</f>
        <v/>
      </c>
      <c r="C76" s="436"/>
      <c r="D76" s="116" t="str">
        <f t="shared" si="6"/>
        <v/>
      </c>
      <c r="E76" s="437" t="str">
        <f t="shared" si="7"/>
        <v/>
      </c>
      <c r="F76" s="438"/>
      <c r="G76" s="439" t="str">
        <f>IF(ISBLANK(A76),"",VLOOKUP(B76,Ceilings!$A$4:$F$206,3,0))</f>
        <v/>
      </c>
      <c r="H76" s="439" t="str">
        <f t="shared" si="8"/>
        <v/>
      </c>
      <c r="I76" s="440"/>
      <c r="J76" s="439" t="str">
        <f>IF(ISBLANK(A76),"",VLOOKUP(B76,Ceilings!$A$4:$F$206,4,0))</f>
        <v/>
      </c>
      <c r="K76" s="439" t="str">
        <f t="shared" si="9"/>
        <v/>
      </c>
      <c r="L76" s="440"/>
      <c r="M76" s="439" t="str">
        <f>IF(ISBLANK(A76),"",VLOOKUP(B76,Ceilings!$A$4:$F$206,5,0))</f>
        <v/>
      </c>
      <c r="N76" s="439" t="str">
        <f t="shared" si="10"/>
        <v/>
      </c>
      <c r="O76" s="440"/>
      <c r="P76" s="439" t="str">
        <f>IF(ISBLANK(A76),"",VLOOKUP(B76,Ceilings!$A$4:$F$206,6,0))</f>
        <v/>
      </c>
      <c r="Q76" s="282" t="str">
        <f t="shared" si="11"/>
        <v/>
      </c>
    </row>
    <row r="77" spans="1:17">
      <c r="A77" s="434"/>
      <c r="B77" s="435" t="str">
        <f>IF(ISBLANK(A77),"",VLOOKUP(A77,Management!$A$6:$C$20,2,0))</f>
        <v/>
      </c>
      <c r="C77" s="436"/>
      <c r="D77" s="116" t="str">
        <f t="shared" si="6"/>
        <v/>
      </c>
      <c r="E77" s="437" t="str">
        <f t="shared" si="7"/>
        <v/>
      </c>
      <c r="F77" s="438"/>
      <c r="G77" s="439" t="str">
        <f>IF(ISBLANK(A77),"",VLOOKUP(B77,Ceilings!$A$4:$F$206,3,0))</f>
        <v/>
      </c>
      <c r="H77" s="439" t="str">
        <f t="shared" si="8"/>
        <v/>
      </c>
      <c r="I77" s="440"/>
      <c r="J77" s="439" t="str">
        <f>IF(ISBLANK(A77),"",VLOOKUP(B77,Ceilings!$A$4:$F$206,4,0))</f>
        <v/>
      </c>
      <c r="K77" s="439" t="str">
        <f t="shared" si="9"/>
        <v/>
      </c>
      <c r="L77" s="440"/>
      <c r="M77" s="439" t="str">
        <f>IF(ISBLANK(A77),"",VLOOKUP(B77,Ceilings!$A$4:$F$206,5,0))</f>
        <v/>
      </c>
      <c r="N77" s="439" t="str">
        <f t="shared" si="10"/>
        <v/>
      </c>
      <c r="O77" s="440"/>
      <c r="P77" s="439" t="str">
        <f>IF(ISBLANK(A77),"",VLOOKUP(B77,Ceilings!$A$4:$F$206,6,0))</f>
        <v/>
      </c>
      <c r="Q77" s="282" t="str">
        <f t="shared" si="11"/>
        <v/>
      </c>
    </row>
    <row r="78" spans="1:17">
      <c r="A78" s="434"/>
      <c r="B78" s="435" t="str">
        <f>IF(ISBLANK(A78),"",VLOOKUP(A78,Management!$A$6:$C$20,2,0))</f>
        <v/>
      </c>
      <c r="C78" s="436"/>
      <c r="D78" s="116" t="str">
        <f t="shared" si="6"/>
        <v/>
      </c>
      <c r="E78" s="437" t="str">
        <f t="shared" si="7"/>
        <v/>
      </c>
      <c r="F78" s="438"/>
      <c r="G78" s="439" t="str">
        <f>IF(ISBLANK(A78),"",VLOOKUP(B78,Ceilings!$A$4:$F$206,3,0))</f>
        <v/>
      </c>
      <c r="H78" s="439" t="str">
        <f t="shared" si="8"/>
        <v/>
      </c>
      <c r="I78" s="440"/>
      <c r="J78" s="439" t="str">
        <f>IF(ISBLANK(A78),"",VLOOKUP(B78,Ceilings!$A$4:$F$206,4,0))</f>
        <v/>
      </c>
      <c r="K78" s="439" t="str">
        <f t="shared" si="9"/>
        <v/>
      </c>
      <c r="L78" s="440"/>
      <c r="M78" s="439" t="str">
        <f>IF(ISBLANK(A78),"",VLOOKUP(B78,Ceilings!$A$4:$F$206,5,0))</f>
        <v/>
      </c>
      <c r="N78" s="439" t="str">
        <f t="shared" si="10"/>
        <v/>
      </c>
      <c r="O78" s="440"/>
      <c r="P78" s="439" t="str">
        <f>IF(ISBLANK(A78),"",VLOOKUP(B78,Ceilings!$A$4:$F$206,6,0))</f>
        <v/>
      </c>
      <c r="Q78" s="282" t="str">
        <f t="shared" si="11"/>
        <v/>
      </c>
    </row>
    <row r="79" spans="1:17">
      <c r="A79" s="434"/>
      <c r="B79" s="435" t="str">
        <f>IF(ISBLANK(A79),"",VLOOKUP(A79,Management!$A$6:$C$20,2,0))</f>
        <v/>
      </c>
      <c r="C79" s="436"/>
      <c r="D79" s="116" t="str">
        <f t="shared" si="6"/>
        <v/>
      </c>
      <c r="E79" s="437" t="str">
        <f t="shared" si="7"/>
        <v/>
      </c>
      <c r="F79" s="438"/>
      <c r="G79" s="439" t="str">
        <f>IF(ISBLANK(A79),"",VLOOKUP(B79,Ceilings!$A$4:$F$206,3,0))</f>
        <v/>
      </c>
      <c r="H79" s="439" t="str">
        <f t="shared" si="8"/>
        <v/>
      </c>
      <c r="I79" s="440"/>
      <c r="J79" s="439" t="str">
        <f>IF(ISBLANK(A79),"",VLOOKUP(B79,Ceilings!$A$4:$F$206,4,0))</f>
        <v/>
      </c>
      <c r="K79" s="439" t="str">
        <f t="shared" si="9"/>
        <v/>
      </c>
      <c r="L79" s="440"/>
      <c r="M79" s="439" t="str">
        <f>IF(ISBLANK(A79),"",VLOOKUP(B79,Ceilings!$A$4:$F$206,5,0))</f>
        <v/>
      </c>
      <c r="N79" s="439" t="str">
        <f t="shared" si="10"/>
        <v/>
      </c>
      <c r="O79" s="440"/>
      <c r="P79" s="439" t="str">
        <f>IF(ISBLANK(A79),"",VLOOKUP(B79,Ceilings!$A$4:$F$206,6,0))</f>
        <v/>
      </c>
      <c r="Q79" s="282" t="str">
        <f t="shared" si="11"/>
        <v/>
      </c>
    </row>
    <row r="80" spans="1:17">
      <c r="A80" s="434"/>
      <c r="B80" s="435" t="str">
        <f>IF(ISBLANK(A80),"",VLOOKUP(A80,Management!$A$6:$C$20,2,0))</f>
        <v/>
      </c>
      <c r="C80" s="436"/>
      <c r="D80" s="116" t="str">
        <f t="shared" si="6"/>
        <v/>
      </c>
      <c r="E80" s="437" t="str">
        <f t="shared" si="7"/>
        <v/>
      </c>
      <c r="F80" s="438"/>
      <c r="G80" s="439" t="str">
        <f>IF(ISBLANK(A80),"",VLOOKUP(B80,Ceilings!$A$4:$F$206,3,0))</f>
        <v/>
      </c>
      <c r="H80" s="439" t="str">
        <f t="shared" si="8"/>
        <v/>
      </c>
      <c r="I80" s="440"/>
      <c r="J80" s="439" t="str">
        <f>IF(ISBLANK(A80),"",VLOOKUP(B80,Ceilings!$A$4:$F$206,4,0))</f>
        <v/>
      </c>
      <c r="K80" s="439" t="str">
        <f t="shared" si="9"/>
        <v/>
      </c>
      <c r="L80" s="440"/>
      <c r="M80" s="439" t="str">
        <f>IF(ISBLANK(A80),"",VLOOKUP(B80,Ceilings!$A$4:$F$206,5,0))</f>
        <v/>
      </c>
      <c r="N80" s="439" t="str">
        <f t="shared" si="10"/>
        <v/>
      </c>
      <c r="O80" s="440"/>
      <c r="P80" s="439" t="str">
        <f>IF(ISBLANK(A80),"",VLOOKUP(B80,Ceilings!$A$4:$F$206,6,0))</f>
        <v/>
      </c>
      <c r="Q80" s="282" t="str">
        <f t="shared" si="11"/>
        <v/>
      </c>
    </row>
    <row r="81" spans="1:17">
      <c r="A81" s="434"/>
      <c r="B81" s="435" t="str">
        <f>IF(ISBLANK(A81),"",VLOOKUP(A81,Management!$A$6:$C$20,2,0))</f>
        <v/>
      </c>
      <c r="C81" s="436"/>
      <c r="D81" s="116" t="str">
        <f t="shared" si="6"/>
        <v/>
      </c>
      <c r="E81" s="437" t="str">
        <f t="shared" si="7"/>
        <v/>
      </c>
      <c r="F81" s="438"/>
      <c r="G81" s="439" t="str">
        <f>IF(ISBLANK(A81),"",VLOOKUP(B81,Ceilings!$A$4:$F$206,3,0))</f>
        <v/>
      </c>
      <c r="H81" s="439" t="str">
        <f t="shared" si="8"/>
        <v/>
      </c>
      <c r="I81" s="440"/>
      <c r="J81" s="439" t="str">
        <f>IF(ISBLANK(A81),"",VLOOKUP(B81,Ceilings!$A$4:$F$206,4,0))</f>
        <v/>
      </c>
      <c r="K81" s="439" t="str">
        <f t="shared" si="9"/>
        <v/>
      </c>
      <c r="L81" s="440"/>
      <c r="M81" s="439" t="str">
        <f>IF(ISBLANK(A81),"",VLOOKUP(B81,Ceilings!$A$4:$F$206,5,0))</f>
        <v/>
      </c>
      <c r="N81" s="439" t="str">
        <f t="shared" si="10"/>
        <v/>
      </c>
      <c r="O81" s="440"/>
      <c r="P81" s="439" t="str">
        <f>IF(ISBLANK(A81),"",VLOOKUP(B81,Ceilings!$A$4:$F$206,6,0))</f>
        <v/>
      </c>
      <c r="Q81" s="282" t="str">
        <f t="shared" si="11"/>
        <v/>
      </c>
    </row>
    <row r="82" spans="1:17">
      <c r="A82" s="434"/>
      <c r="B82" s="435" t="str">
        <f>IF(ISBLANK(A82),"",VLOOKUP(A82,Management!$A$6:$C$20,2,0))</f>
        <v/>
      </c>
      <c r="C82" s="436"/>
      <c r="D82" s="116" t="str">
        <f t="shared" si="6"/>
        <v/>
      </c>
      <c r="E82" s="437" t="str">
        <f t="shared" si="7"/>
        <v/>
      </c>
      <c r="F82" s="438"/>
      <c r="G82" s="439" t="str">
        <f>IF(ISBLANK(A82),"",VLOOKUP(B82,Ceilings!$A$4:$F$206,3,0))</f>
        <v/>
      </c>
      <c r="H82" s="439" t="str">
        <f t="shared" si="8"/>
        <v/>
      </c>
      <c r="I82" s="440"/>
      <c r="J82" s="439" t="str">
        <f>IF(ISBLANK(A82),"",VLOOKUP(B82,Ceilings!$A$4:$F$206,4,0))</f>
        <v/>
      </c>
      <c r="K82" s="439" t="str">
        <f t="shared" si="9"/>
        <v/>
      </c>
      <c r="L82" s="440"/>
      <c r="M82" s="439" t="str">
        <f>IF(ISBLANK(A82),"",VLOOKUP(B82,Ceilings!$A$4:$F$206,5,0))</f>
        <v/>
      </c>
      <c r="N82" s="439" t="str">
        <f t="shared" si="10"/>
        <v/>
      </c>
      <c r="O82" s="440"/>
      <c r="P82" s="439" t="str">
        <f>IF(ISBLANK(A82),"",VLOOKUP(B82,Ceilings!$A$4:$F$206,6,0))</f>
        <v/>
      </c>
      <c r="Q82" s="282" t="str">
        <f t="shared" si="11"/>
        <v/>
      </c>
    </row>
    <row r="83" spans="1:17">
      <c r="A83" s="434"/>
      <c r="B83" s="435" t="str">
        <f>IF(ISBLANK(A83),"",VLOOKUP(A83,Management!$A$6:$C$20,2,0))</f>
        <v/>
      </c>
      <c r="C83" s="436"/>
      <c r="D83" s="116" t="str">
        <f t="shared" si="6"/>
        <v/>
      </c>
      <c r="E83" s="437" t="str">
        <f t="shared" si="7"/>
        <v/>
      </c>
      <c r="F83" s="438"/>
      <c r="G83" s="439" t="str">
        <f>IF(ISBLANK(A83),"",VLOOKUP(B83,Ceilings!$A$4:$F$206,3,0))</f>
        <v/>
      </c>
      <c r="H83" s="439" t="str">
        <f t="shared" si="8"/>
        <v/>
      </c>
      <c r="I83" s="440"/>
      <c r="J83" s="439" t="str">
        <f>IF(ISBLANK(A83),"",VLOOKUP(B83,Ceilings!$A$4:$F$206,4,0))</f>
        <v/>
      </c>
      <c r="K83" s="439" t="str">
        <f t="shared" si="9"/>
        <v/>
      </c>
      <c r="L83" s="440"/>
      <c r="M83" s="439" t="str">
        <f>IF(ISBLANK(A83),"",VLOOKUP(B83,Ceilings!$A$4:$F$206,5,0))</f>
        <v/>
      </c>
      <c r="N83" s="439" t="str">
        <f t="shared" si="10"/>
        <v/>
      </c>
      <c r="O83" s="440"/>
      <c r="P83" s="439" t="str">
        <f>IF(ISBLANK(A83),"",VLOOKUP(B83,Ceilings!$A$4:$F$206,6,0))</f>
        <v/>
      </c>
      <c r="Q83" s="282" t="str">
        <f t="shared" si="11"/>
        <v/>
      </c>
    </row>
    <row r="84" spans="1:17">
      <c r="A84" s="434"/>
      <c r="B84" s="435" t="str">
        <f>IF(ISBLANK(A84),"",VLOOKUP(A84,Management!$A$6:$C$20,2,0))</f>
        <v/>
      </c>
      <c r="C84" s="436"/>
      <c r="D84" s="116" t="str">
        <f t="shared" si="6"/>
        <v/>
      </c>
      <c r="E84" s="437" t="str">
        <f t="shared" si="7"/>
        <v/>
      </c>
      <c r="F84" s="438"/>
      <c r="G84" s="439" t="str">
        <f>IF(ISBLANK(A84),"",VLOOKUP(B84,Ceilings!$A$4:$F$206,3,0))</f>
        <v/>
      </c>
      <c r="H84" s="439" t="str">
        <f t="shared" si="8"/>
        <v/>
      </c>
      <c r="I84" s="440"/>
      <c r="J84" s="439" t="str">
        <f>IF(ISBLANK(A84),"",VLOOKUP(B84,Ceilings!$A$4:$F$206,4,0))</f>
        <v/>
      </c>
      <c r="K84" s="439" t="str">
        <f t="shared" si="9"/>
        <v/>
      </c>
      <c r="L84" s="440"/>
      <c r="M84" s="439" t="str">
        <f>IF(ISBLANK(A84),"",VLOOKUP(B84,Ceilings!$A$4:$F$206,5,0))</f>
        <v/>
      </c>
      <c r="N84" s="439" t="str">
        <f t="shared" si="10"/>
        <v/>
      </c>
      <c r="O84" s="440"/>
      <c r="P84" s="439" t="str">
        <f>IF(ISBLANK(A84),"",VLOOKUP(B84,Ceilings!$A$4:$F$206,6,0))</f>
        <v/>
      </c>
      <c r="Q84" s="282" t="str">
        <f t="shared" si="11"/>
        <v/>
      </c>
    </row>
    <row r="85" spans="1:17">
      <c r="A85" s="434"/>
      <c r="B85" s="435" t="str">
        <f>IF(ISBLANK(A85),"",VLOOKUP(A85,Management!$A$6:$C$20,2,0))</f>
        <v/>
      </c>
      <c r="C85" s="436"/>
      <c r="D85" s="116" t="str">
        <f t="shared" si="6"/>
        <v/>
      </c>
      <c r="E85" s="437" t="str">
        <f t="shared" si="7"/>
        <v/>
      </c>
      <c r="F85" s="438"/>
      <c r="G85" s="439" t="str">
        <f>IF(ISBLANK(A85),"",VLOOKUP(B85,Ceilings!$A$4:$F$206,3,0))</f>
        <v/>
      </c>
      <c r="H85" s="439" t="str">
        <f t="shared" si="8"/>
        <v/>
      </c>
      <c r="I85" s="440"/>
      <c r="J85" s="439" t="str">
        <f>IF(ISBLANK(A85),"",VLOOKUP(B85,Ceilings!$A$4:$F$206,4,0))</f>
        <v/>
      </c>
      <c r="K85" s="439" t="str">
        <f t="shared" si="9"/>
        <v/>
      </c>
      <c r="L85" s="440"/>
      <c r="M85" s="439" t="str">
        <f>IF(ISBLANK(A85),"",VLOOKUP(B85,Ceilings!$A$4:$F$206,5,0))</f>
        <v/>
      </c>
      <c r="N85" s="439" t="str">
        <f t="shared" si="10"/>
        <v/>
      </c>
      <c r="O85" s="440"/>
      <c r="P85" s="439" t="str">
        <f>IF(ISBLANK(A85),"",VLOOKUP(B85,Ceilings!$A$4:$F$206,6,0))</f>
        <v/>
      </c>
      <c r="Q85" s="282" t="str">
        <f t="shared" si="11"/>
        <v/>
      </c>
    </row>
    <row r="86" spans="1:17">
      <c r="A86" s="434"/>
      <c r="B86" s="435" t="str">
        <f>IF(ISBLANK(A86),"",VLOOKUP(A86,Management!$A$6:$C$20,2,0))</f>
        <v/>
      </c>
      <c r="C86" s="436"/>
      <c r="D86" s="116" t="str">
        <f t="shared" si="6"/>
        <v/>
      </c>
      <c r="E86" s="437" t="str">
        <f t="shared" si="7"/>
        <v/>
      </c>
      <c r="F86" s="438"/>
      <c r="G86" s="439" t="str">
        <f>IF(ISBLANK(A86),"",VLOOKUP(B86,Ceilings!$A$4:$F$206,3,0))</f>
        <v/>
      </c>
      <c r="H86" s="439" t="str">
        <f t="shared" si="8"/>
        <v/>
      </c>
      <c r="I86" s="440"/>
      <c r="J86" s="439" t="str">
        <f>IF(ISBLANK(A86),"",VLOOKUP(B86,Ceilings!$A$4:$F$206,4,0))</f>
        <v/>
      </c>
      <c r="K86" s="439" t="str">
        <f t="shared" si="9"/>
        <v/>
      </c>
      <c r="L86" s="440"/>
      <c r="M86" s="439" t="str">
        <f>IF(ISBLANK(A86),"",VLOOKUP(B86,Ceilings!$A$4:$F$206,5,0))</f>
        <v/>
      </c>
      <c r="N86" s="439" t="str">
        <f t="shared" si="10"/>
        <v/>
      </c>
      <c r="O86" s="440"/>
      <c r="P86" s="439" t="str">
        <f>IF(ISBLANK(A86),"",VLOOKUP(B86,Ceilings!$A$4:$F$206,6,0))</f>
        <v/>
      </c>
      <c r="Q86" s="282" t="str">
        <f t="shared" si="11"/>
        <v/>
      </c>
    </row>
    <row r="87" spans="1:17">
      <c r="A87" s="434"/>
      <c r="B87" s="435" t="str">
        <f>IF(ISBLANK(A87),"",VLOOKUP(A87,Management!$A$6:$C$20,2,0))</f>
        <v/>
      </c>
      <c r="C87" s="436"/>
      <c r="D87" s="116" t="str">
        <f t="shared" si="6"/>
        <v/>
      </c>
      <c r="E87" s="437" t="str">
        <f t="shared" si="7"/>
        <v/>
      </c>
      <c r="F87" s="438"/>
      <c r="G87" s="439" t="str">
        <f>IF(ISBLANK(A87),"",VLOOKUP(B87,Ceilings!$A$4:$F$206,3,0))</f>
        <v/>
      </c>
      <c r="H87" s="439" t="str">
        <f t="shared" si="8"/>
        <v/>
      </c>
      <c r="I87" s="440"/>
      <c r="J87" s="439" t="str">
        <f>IF(ISBLANK(A87),"",VLOOKUP(B87,Ceilings!$A$4:$F$206,4,0))</f>
        <v/>
      </c>
      <c r="K87" s="439" t="str">
        <f t="shared" si="9"/>
        <v/>
      </c>
      <c r="L87" s="440"/>
      <c r="M87" s="439" t="str">
        <f>IF(ISBLANK(A87),"",VLOOKUP(B87,Ceilings!$A$4:$F$206,5,0))</f>
        <v/>
      </c>
      <c r="N87" s="439" t="str">
        <f t="shared" si="10"/>
        <v/>
      </c>
      <c r="O87" s="440"/>
      <c r="P87" s="439" t="str">
        <f>IF(ISBLANK(A87),"",VLOOKUP(B87,Ceilings!$A$4:$F$206,6,0))</f>
        <v/>
      </c>
      <c r="Q87" s="282" t="str">
        <f t="shared" si="11"/>
        <v/>
      </c>
    </row>
    <row r="88" spans="1:17">
      <c r="A88" s="434"/>
      <c r="B88" s="435" t="str">
        <f>IF(ISBLANK(A88),"",VLOOKUP(A88,Management!$A$6:$C$20,2,0))</f>
        <v/>
      </c>
      <c r="C88" s="436"/>
      <c r="D88" s="116" t="str">
        <f t="shared" si="6"/>
        <v/>
      </c>
      <c r="E88" s="437" t="str">
        <f t="shared" si="7"/>
        <v/>
      </c>
      <c r="F88" s="438"/>
      <c r="G88" s="439" t="str">
        <f>IF(ISBLANK(A88),"",VLOOKUP(B88,Ceilings!$A$4:$F$206,3,0))</f>
        <v/>
      </c>
      <c r="H88" s="439" t="str">
        <f t="shared" si="8"/>
        <v/>
      </c>
      <c r="I88" s="440"/>
      <c r="J88" s="439" t="str">
        <f>IF(ISBLANK(A88),"",VLOOKUP(B88,Ceilings!$A$4:$F$206,4,0))</f>
        <v/>
      </c>
      <c r="K88" s="439" t="str">
        <f t="shared" si="9"/>
        <v/>
      </c>
      <c r="L88" s="440"/>
      <c r="M88" s="439" t="str">
        <f>IF(ISBLANK(A88),"",VLOOKUP(B88,Ceilings!$A$4:$F$206,5,0))</f>
        <v/>
      </c>
      <c r="N88" s="439" t="str">
        <f t="shared" si="10"/>
        <v/>
      </c>
      <c r="O88" s="440"/>
      <c r="P88" s="439" t="str">
        <f>IF(ISBLANK(A88),"",VLOOKUP(B88,Ceilings!$A$4:$F$206,6,0))</f>
        <v/>
      </c>
      <c r="Q88" s="282" t="str">
        <f t="shared" si="11"/>
        <v/>
      </c>
    </row>
    <row r="89" spans="1:17">
      <c r="A89" s="434"/>
      <c r="B89" s="435" t="str">
        <f>IF(ISBLANK(A89),"",VLOOKUP(A89,Management!$A$6:$C$20,2,0))</f>
        <v/>
      </c>
      <c r="C89" s="436"/>
      <c r="D89" s="116" t="str">
        <f t="shared" si="6"/>
        <v/>
      </c>
      <c r="E89" s="437" t="str">
        <f t="shared" si="7"/>
        <v/>
      </c>
      <c r="F89" s="438"/>
      <c r="G89" s="439" t="str">
        <f>IF(ISBLANK(A89),"",VLOOKUP(B89,Ceilings!$A$4:$F$206,3,0))</f>
        <v/>
      </c>
      <c r="H89" s="439" t="str">
        <f t="shared" si="8"/>
        <v/>
      </c>
      <c r="I89" s="440"/>
      <c r="J89" s="439" t="str">
        <f>IF(ISBLANK(A89),"",VLOOKUP(B89,Ceilings!$A$4:$F$206,4,0))</f>
        <v/>
      </c>
      <c r="K89" s="439" t="str">
        <f t="shared" si="9"/>
        <v/>
      </c>
      <c r="L89" s="440"/>
      <c r="M89" s="439" t="str">
        <f>IF(ISBLANK(A89),"",VLOOKUP(B89,Ceilings!$A$4:$F$206,5,0))</f>
        <v/>
      </c>
      <c r="N89" s="439" t="str">
        <f t="shared" si="10"/>
        <v/>
      </c>
      <c r="O89" s="440"/>
      <c r="P89" s="439" t="str">
        <f>IF(ISBLANK(A89),"",VLOOKUP(B89,Ceilings!$A$4:$F$206,6,0))</f>
        <v/>
      </c>
      <c r="Q89" s="282" t="str">
        <f t="shared" si="11"/>
        <v/>
      </c>
    </row>
    <row r="90" spans="1:17">
      <c r="A90" s="434"/>
      <c r="B90" s="435" t="str">
        <f>IF(ISBLANK(A90),"",VLOOKUP(A90,Management!$A$6:$C$20,2,0))</f>
        <v/>
      </c>
      <c r="C90" s="436"/>
      <c r="D90" s="116" t="str">
        <f t="shared" si="6"/>
        <v/>
      </c>
      <c r="E90" s="437" t="str">
        <f t="shared" si="7"/>
        <v/>
      </c>
      <c r="F90" s="438"/>
      <c r="G90" s="439" t="str">
        <f>IF(ISBLANK(A90),"",VLOOKUP(B90,Ceilings!$A$4:$F$206,3,0))</f>
        <v/>
      </c>
      <c r="H90" s="439" t="str">
        <f t="shared" si="8"/>
        <v/>
      </c>
      <c r="I90" s="440"/>
      <c r="J90" s="439" t="str">
        <f>IF(ISBLANK(A90),"",VLOOKUP(B90,Ceilings!$A$4:$F$206,4,0))</f>
        <v/>
      </c>
      <c r="K90" s="439" t="str">
        <f t="shared" si="9"/>
        <v/>
      </c>
      <c r="L90" s="440"/>
      <c r="M90" s="439" t="str">
        <f>IF(ISBLANK(A90),"",VLOOKUP(B90,Ceilings!$A$4:$F$206,5,0))</f>
        <v/>
      </c>
      <c r="N90" s="439" t="str">
        <f t="shared" si="10"/>
        <v/>
      </c>
      <c r="O90" s="440"/>
      <c r="P90" s="439" t="str">
        <f>IF(ISBLANK(A90),"",VLOOKUP(B90,Ceilings!$A$4:$F$206,6,0))</f>
        <v/>
      </c>
      <c r="Q90" s="282" t="str">
        <f t="shared" si="11"/>
        <v/>
      </c>
    </row>
    <row r="91" spans="1:17">
      <c r="A91" s="434"/>
      <c r="B91" s="435" t="str">
        <f>IF(ISBLANK(A91),"",VLOOKUP(A91,Management!$A$6:$C$20,2,0))</f>
        <v/>
      </c>
      <c r="C91" s="436"/>
      <c r="D91" s="116" t="str">
        <f t="shared" si="6"/>
        <v/>
      </c>
      <c r="E91" s="437" t="str">
        <f t="shared" si="7"/>
        <v/>
      </c>
      <c r="F91" s="438"/>
      <c r="G91" s="439" t="str">
        <f>IF(ISBLANK(A91),"",VLOOKUP(B91,Ceilings!$A$4:$F$206,3,0))</f>
        <v/>
      </c>
      <c r="H91" s="439" t="str">
        <f t="shared" si="8"/>
        <v/>
      </c>
      <c r="I91" s="440"/>
      <c r="J91" s="439" t="str">
        <f>IF(ISBLANK(A91),"",VLOOKUP(B91,Ceilings!$A$4:$F$206,4,0))</f>
        <v/>
      </c>
      <c r="K91" s="439" t="str">
        <f t="shared" si="9"/>
        <v/>
      </c>
      <c r="L91" s="440"/>
      <c r="M91" s="439" t="str">
        <f>IF(ISBLANK(A91),"",VLOOKUP(B91,Ceilings!$A$4:$F$206,5,0))</f>
        <v/>
      </c>
      <c r="N91" s="439" t="str">
        <f t="shared" si="10"/>
        <v/>
      </c>
      <c r="O91" s="440"/>
      <c r="P91" s="439" t="str">
        <f>IF(ISBLANK(A91),"",VLOOKUP(B91,Ceilings!$A$4:$F$206,6,0))</f>
        <v/>
      </c>
      <c r="Q91" s="282" t="str">
        <f t="shared" si="11"/>
        <v/>
      </c>
    </row>
    <row r="92" spans="1:17">
      <c r="A92" s="434"/>
      <c r="B92" s="435" t="str">
        <f>IF(ISBLANK(A92),"",VLOOKUP(A92,Management!$A$6:$C$20,2,0))</f>
        <v/>
      </c>
      <c r="C92" s="436"/>
      <c r="D92" s="116" t="str">
        <f t="shared" si="6"/>
        <v/>
      </c>
      <c r="E92" s="437" t="str">
        <f t="shared" si="7"/>
        <v/>
      </c>
      <c r="F92" s="438"/>
      <c r="G92" s="439" t="str">
        <f>IF(ISBLANK(A92),"",VLOOKUP(B92,Ceilings!$A$4:$F$206,3,0))</f>
        <v/>
      </c>
      <c r="H92" s="439" t="str">
        <f t="shared" si="8"/>
        <v/>
      </c>
      <c r="I92" s="440"/>
      <c r="J92" s="439" t="str">
        <f>IF(ISBLANK(A92),"",VLOOKUP(B92,Ceilings!$A$4:$F$206,4,0))</f>
        <v/>
      </c>
      <c r="K92" s="439" t="str">
        <f t="shared" si="9"/>
        <v/>
      </c>
      <c r="L92" s="440"/>
      <c r="M92" s="439" t="str">
        <f>IF(ISBLANK(A92),"",VLOOKUP(B92,Ceilings!$A$4:$F$206,5,0))</f>
        <v/>
      </c>
      <c r="N92" s="439" t="str">
        <f t="shared" si="10"/>
        <v/>
      </c>
      <c r="O92" s="440"/>
      <c r="P92" s="439" t="str">
        <f>IF(ISBLANK(A92),"",VLOOKUP(B92,Ceilings!$A$4:$F$206,6,0))</f>
        <v/>
      </c>
      <c r="Q92" s="282" t="str">
        <f t="shared" si="11"/>
        <v/>
      </c>
    </row>
    <row r="93" spans="1:17">
      <c r="A93" s="434"/>
      <c r="B93" s="435" t="str">
        <f>IF(ISBLANK(A93),"",VLOOKUP(A93,Management!$A$6:$C$20,2,0))</f>
        <v/>
      </c>
      <c r="C93" s="436"/>
      <c r="D93" s="116" t="str">
        <f t="shared" si="6"/>
        <v/>
      </c>
      <c r="E93" s="437" t="str">
        <f t="shared" si="7"/>
        <v/>
      </c>
      <c r="F93" s="438"/>
      <c r="G93" s="439" t="str">
        <f>IF(ISBLANK(A93),"",VLOOKUP(B93,Ceilings!$A$4:$F$206,3,0))</f>
        <v/>
      </c>
      <c r="H93" s="439" t="str">
        <f t="shared" si="8"/>
        <v/>
      </c>
      <c r="I93" s="440"/>
      <c r="J93" s="439" t="str">
        <f>IF(ISBLANK(A93),"",VLOOKUP(B93,Ceilings!$A$4:$F$206,4,0))</f>
        <v/>
      </c>
      <c r="K93" s="439" t="str">
        <f t="shared" si="9"/>
        <v/>
      </c>
      <c r="L93" s="440"/>
      <c r="M93" s="439" t="str">
        <f>IF(ISBLANK(A93),"",VLOOKUP(B93,Ceilings!$A$4:$F$206,5,0))</f>
        <v/>
      </c>
      <c r="N93" s="439" t="str">
        <f t="shared" si="10"/>
        <v/>
      </c>
      <c r="O93" s="440"/>
      <c r="P93" s="439" t="str">
        <f>IF(ISBLANK(A93),"",VLOOKUP(B93,Ceilings!$A$4:$F$206,6,0))</f>
        <v/>
      </c>
      <c r="Q93" s="282" t="str">
        <f t="shared" si="11"/>
        <v/>
      </c>
    </row>
    <row r="94" spans="1:17">
      <c r="A94" s="434"/>
      <c r="B94" s="435" t="str">
        <f>IF(ISBLANK(A94),"",VLOOKUP(A94,Management!$A$6:$C$20,2,0))</f>
        <v/>
      </c>
      <c r="C94" s="436"/>
      <c r="D94" s="116" t="str">
        <f t="shared" si="6"/>
        <v/>
      </c>
      <c r="E94" s="437" t="str">
        <f t="shared" si="7"/>
        <v/>
      </c>
      <c r="F94" s="438"/>
      <c r="G94" s="439" t="str">
        <f>IF(ISBLANK(A94),"",VLOOKUP(B94,Ceilings!$A$4:$F$206,3,0))</f>
        <v/>
      </c>
      <c r="H94" s="439" t="str">
        <f t="shared" si="8"/>
        <v/>
      </c>
      <c r="I94" s="440"/>
      <c r="J94" s="439" t="str">
        <f>IF(ISBLANK(A94),"",VLOOKUP(B94,Ceilings!$A$4:$F$206,4,0))</f>
        <v/>
      </c>
      <c r="K94" s="439" t="str">
        <f t="shared" si="9"/>
        <v/>
      </c>
      <c r="L94" s="440"/>
      <c r="M94" s="439" t="str">
        <f>IF(ISBLANK(A94),"",VLOOKUP(B94,Ceilings!$A$4:$F$206,5,0))</f>
        <v/>
      </c>
      <c r="N94" s="439" t="str">
        <f t="shared" si="10"/>
        <v/>
      </c>
      <c r="O94" s="440"/>
      <c r="P94" s="439" t="str">
        <f>IF(ISBLANK(A94),"",VLOOKUP(B94,Ceilings!$A$4:$F$206,6,0))</f>
        <v/>
      </c>
      <c r="Q94" s="282" t="str">
        <f t="shared" si="11"/>
        <v/>
      </c>
    </row>
    <row r="95" spans="1:17">
      <c r="A95" s="434"/>
      <c r="B95" s="435" t="str">
        <f>IF(ISBLANK(A95),"",VLOOKUP(A95,Management!$A$6:$C$20,2,0))</f>
        <v/>
      </c>
      <c r="C95" s="436"/>
      <c r="D95" s="116" t="str">
        <f t="shared" si="6"/>
        <v/>
      </c>
      <c r="E95" s="437" t="str">
        <f t="shared" si="7"/>
        <v/>
      </c>
      <c r="F95" s="438"/>
      <c r="G95" s="439" t="str">
        <f>IF(ISBLANK(A95),"",VLOOKUP(B95,Ceilings!$A$4:$F$206,3,0))</f>
        <v/>
      </c>
      <c r="H95" s="439" t="str">
        <f t="shared" si="8"/>
        <v/>
      </c>
      <c r="I95" s="440"/>
      <c r="J95" s="439" t="str">
        <f>IF(ISBLANK(A95),"",VLOOKUP(B95,Ceilings!$A$4:$F$206,4,0))</f>
        <v/>
      </c>
      <c r="K95" s="439" t="str">
        <f t="shared" si="9"/>
        <v/>
      </c>
      <c r="L95" s="440"/>
      <c r="M95" s="439" t="str">
        <f>IF(ISBLANK(A95),"",VLOOKUP(B95,Ceilings!$A$4:$F$206,5,0))</f>
        <v/>
      </c>
      <c r="N95" s="439" t="str">
        <f t="shared" si="10"/>
        <v/>
      </c>
      <c r="O95" s="440"/>
      <c r="P95" s="439" t="str">
        <f>IF(ISBLANK(A95),"",VLOOKUP(B95,Ceilings!$A$4:$F$206,6,0))</f>
        <v/>
      </c>
      <c r="Q95" s="282" t="str">
        <f t="shared" si="11"/>
        <v/>
      </c>
    </row>
    <row r="96" spans="1:17">
      <c r="A96" s="434"/>
      <c r="B96" s="435" t="str">
        <f>IF(ISBLANK(A96),"",VLOOKUP(A96,Management!$A$6:$C$20,2,0))</f>
        <v/>
      </c>
      <c r="C96" s="436"/>
      <c r="D96" s="116" t="str">
        <f t="shared" si="6"/>
        <v/>
      </c>
      <c r="E96" s="437" t="str">
        <f t="shared" si="7"/>
        <v/>
      </c>
      <c r="F96" s="438"/>
      <c r="G96" s="439" t="str">
        <f>IF(ISBLANK(A96),"",VLOOKUP(B96,Ceilings!$A$4:$F$206,3,0))</f>
        <v/>
      </c>
      <c r="H96" s="439" t="str">
        <f t="shared" si="8"/>
        <v/>
      </c>
      <c r="I96" s="440"/>
      <c r="J96" s="439" t="str">
        <f>IF(ISBLANK(A96),"",VLOOKUP(B96,Ceilings!$A$4:$F$206,4,0))</f>
        <v/>
      </c>
      <c r="K96" s="439" t="str">
        <f t="shared" si="9"/>
        <v/>
      </c>
      <c r="L96" s="440"/>
      <c r="M96" s="439" t="str">
        <f>IF(ISBLANK(A96),"",VLOOKUP(B96,Ceilings!$A$4:$F$206,5,0))</f>
        <v/>
      </c>
      <c r="N96" s="439" t="str">
        <f t="shared" si="10"/>
        <v/>
      </c>
      <c r="O96" s="440"/>
      <c r="P96" s="439" t="str">
        <f>IF(ISBLANK(A96),"",VLOOKUP(B96,Ceilings!$A$4:$F$206,6,0))</f>
        <v/>
      </c>
      <c r="Q96" s="282" t="str">
        <f t="shared" si="11"/>
        <v/>
      </c>
    </row>
    <row r="97" spans="1:17">
      <c r="A97" s="434"/>
      <c r="B97" s="435" t="str">
        <f>IF(ISBLANK(A97),"",VLOOKUP(A97,Management!$A$6:$C$20,2,0))</f>
        <v/>
      </c>
      <c r="C97" s="436"/>
      <c r="D97" s="116" t="str">
        <f t="shared" si="6"/>
        <v/>
      </c>
      <c r="E97" s="437" t="str">
        <f t="shared" si="7"/>
        <v/>
      </c>
      <c r="F97" s="438"/>
      <c r="G97" s="439" t="str">
        <f>IF(ISBLANK(A97),"",VLOOKUP(B97,Ceilings!$A$4:$F$206,3,0))</f>
        <v/>
      </c>
      <c r="H97" s="439" t="str">
        <f t="shared" si="8"/>
        <v/>
      </c>
      <c r="I97" s="440"/>
      <c r="J97" s="439" t="str">
        <f>IF(ISBLANK(A97),"",VLOOKUP(B97,Ceilings!$A$4:$F$206,4,0))</f>
        <v/>
      </c>
      <c r="K97" s="439" t="str">
        <f t="shared" si="9"/>
        <v/>
      </c>
      <c r="L97" s="440"/>
      <c r="M97" s="439" t="str">
        <f>IF(ISBLANK(A97),"",VLOOKUP(B97,Ceilings!$A$4:$F$206,5,0))</f>
        <v/>
      </c>
      <c r="N97" s="439" t="str">
        <f t="shared" si="10"/>
        <v/>
      </c>
      <c r="O97" s="440"/>
      <c r="P97" s="439" t="str">
        <f>IF(ISBLANK(A97),"",VLOOKUP(B97,Ceilings!$A$4:$F$206,6,0))</f>
        <v/>
      </c>
      <c r="Q97" s="282" t="str">
        <f t="shared" si="11"/>
        <v/>
      </c>
    </row>
    <row r="98" spans="1:17">
      <c r="A98" s="434"/>
      <c r="B98" s="435" t="str">
        <f>IF(ISBLANK(A98),"",VLOOKUP(A98,Management!$A$6:$C$20,2,0))</f>
        <v/>
      </c>
      <c r="C98" s="436"/>
      <c r="D98" s="116" t="str">
        <f t="shared" si="6"/>
        <v/>
      </c>
      <c r="E98" s="437" t="str">
        <f t="shared" si="7"/>
        <v/>
      </c>
      <c r="F98" s="438"/>
      <c r="G98" s="439" t="str">
        <f>IF(ISBLANK(A98),"",VLOOKUP(B98,Ceilings!$A$4:$F$206,3,0))</f>
        <v/>
      </c>
      <c r="H98" s="439" t="str">
        <f t="shared" si="8"/>
        <v/>
      </c>
      <c r="I98" s="440"/>
      <c r="J98" s="439" t="str">
        <f>IF(ISBLANK(A98),"",VLOOKUP(B98,Ceilings!$A$4:$F$206,4,0))</f>
        <v/>
      </c>
      <c r="K98" s="439" t="str">
        <f t="shared" si="9"/>
        <v/>
      </c>
      <c r="L98" s="440"/>
      <c r="M98" s="439" t="str">
        <f>IF(ISBLANK(A98),"",VLOOKUP(B98,Ceilings!$A$4:$F$206,5,0))</f>
        <v/>
      </c>
      <c r="N98" s="439" t="str">
        <f t="shared" si="10"/>
        <v/>
      </c>
      <c r="O98" s="440"/>
      <c r="P98" s="439" t="str">
        <f>IF(ISBLANK(A98),"",VLOOKUP(B98,Ceilings!$A$4:$F$206,6,0))</f>
        <v/>
      </c>
      <c r="Q98" s="282" t="str">
        <f t="shared" si="11"/>
        <v/>
      </c>
    </row>
    <row r="99" spans="1:17">
      <c r="A99" s="434"/>
      <c r="B99" s="435" t="str">
        <f>IF(ISBLANK(A99),"",VLOOKUP(A99,Management!$A$6:$C$20,2,0))</f>
        <v/>
      </c>
      <c r="C99" s="436"/>
      <c r="D99" s="116" t="str">
        <f t="shared" si="6"/>
        <v/>
      </c>
      <c r="E99" s="437" t="str">
        <f t="shared" si="7"/>
        <v/>
      </c>
      <c r="F99" s="438"/>
      <c r="G99" s="439" t="str">
        <f>IF(ISBLANK(A99),"",VLOOKUP(B99,Ceilings!$A$4:$F$206,3,0))</f>
        <v/>
      </c>
      <c r="H99" s="439" t="str">
        <f t="shared" si="8"/>
        <v/>
      </c>
      <c r="I99" s="440"/>
      <c r="J99" s="439" t="str">
        <f>IF(ISBLANK(A99),"",VLOOKUP(B99,Ceilings!$A$4:$F$206,4,0))</f>
        <v/>
      </c>
      <c r="K99" s="439" t="str">
        <f t="shared" si="9"/>
        <v/>
      </c>
      <c r="L99" s="440"/>
      <c r="M99" s="439" t="str">
        <f>IF(ISBLANK(A99),"",VLOOKUP(B99,Ceilings!$A$4:$F$206,5,0))</f>
        <v/>
      </c>
      <c r="N99" s="439" t="str">
        <f t="shared" si="10"/>
        <v/>
      </c>
      <c r="O99" s="440"/>
      <c r="P99" s="439" t="str">
        <f>IF(ISBLANK(A99),"",VLOOKUP(B99,Ceilings!$A$4:$F$206,6,0))</f>
        <v/>
      </c>
      <c r="Q99" s="282" t="str">
        <f t="shared" si="11"/>
        <v/>
      </c>
    </row>
    <row r="100" spans="1:17">
      <c r="A100" s="434"/>
      <c r="B100" s="435" t="str">
        <f>IF(ISBLANK(A100),"",VLOOKUP(A100,Management!$A$6:$C$20,2,0))</f>
        <v/>
      </c>
      <c r="C100" s="436"/>
      <c r="D100" s="116" t="str">
        <f t="shared" si="6"/>
        <v/>
      </c>
      <c r="E100" s="437" t="str">
        <f t="shared" si="7"/>
        <v/>
      </c>
      <c r="F100" s="438"/>
      <c r="G100" s="439" t="str">
        <f>IF(ISBLANK(A100),"",VLOOKUP(B100,Ceilings!$A$4:$F$206,3,0))</f>
        <v/>
      </c>
      <c r="H100" s="439" t="str">
        <f t="shared" si="8"/>
        <v/>
      </c>
      <c r="I100" s="440"/>
      <c r="J100" s="439" t="str">
        <f>IF(ISBLANK(A100),"",VLOOKUP(B100,Ceilings!$A$4:$F$206,4,0))</f>
        <v/>
      </c>
      <c r="K100" s="439" t="str">
        <f t="shared" si="9"/>
        <v/>
      </c>
      <c r="L100" s="440"/>
      <c r="M100" s="439" t="str">
        <f>IF(ISBLANK(A100),"",VLOOKUP(B100,Ceilings!$A$4:$F$206,5,0))</f>
        <v/>
      </c>
      <c r="N100" s="439" t="str">
        <f t="shared" si="10"/>
        <v/>
      </c>
      <c r="O100" s="440"/>
      <c r="P100" s="439" t="str">
        <f>IF(ISBLANK(A100),"",VLOOKUP(B100,Ceilings!$A$4:$F$206,6,0))</f>
        <v/>
      </c>
      <c r="Q100" s="282" t="str">
        <f t="shared" si="11"/>
        <v/>
      </c>
    </row>
    <row r="101" spans="1:17">
      <c r="A101" s="434"/>
      <c r="B101" s="435" t="str">
        <f>IF(ISBLANK(A101),"",VLOOKUP(A101,Management!$A$6:$C$20,2,0))</f>
        <v/>
      </c>
      <c r="C101" s="436"/>
      <c r="D101" s="116" t="str">
        <f t="shared" si="6"/>
        <v/>
      </c>
      <c r="E101" s="437" t="str">
        <f t="shared" si="7"/>
        <v/>
      </c>
      <c r="F101" s="438"/>
      <c r="G101" s="439" t="str">
        <f>IF(ISBLANK(A101),"",VLOOKUP(B101,Ceilings!$A$4:$F$206,3,0))</f>
        <v/>
      </c>
      <c r="H101" s="439" t="str">
        <f t="shared" si="8"/>
        <v/>
      </c>
      <c r="I101" s="440"/>
      <c r="J101" s="439" t="str">
        <f>IF(ISBLANK(A101),"",VLOOKUP(B101,Ceilings!$A$4:$F$206,4,0))</f>
        <v/>
      </c>
      <c r="K101" s="439" t="str">
        <f t="shared" si="9"/>
        <v/>
      </c>
      <c r="L101" s="440"/>
      <c r="M101" s="439" t="str">
        <f>IF(ISBLANK(A101),"",VLOOKUP(B101,Ceilings!$A$4:$F$206,5,0))</f>
        <v/>
      </c>
      <c r="N101" s="439" t="str">
        <f t="shared" si="10"/>
        <v/>
      </c>
      <c r="O101" s="440"/>
      <c r="P101" s="439" t="str">
        <f>IF(ISBLANK(A101),"",VLOOKUP(B101,Ceilings!$A$4:$F$206,6,0))</f>
        <v/>
      </c>
      <c r="Q101" s="282" t="str">
        <f t="shared" si="11"/>
        <v/>
      </c>
    </row>
    <row r="102" spans="1:17">
      <c r="A102" s="434"/>
      <c r="B102" s="435" t="str">
        <f>IF(ISBLANK(A102),"",VLOOKUP(A102,Management!$A$6:$C$20,2,0))</f>
        <v/>
      </c>
      <c r="C102" s="436"/>
      <c r="D102" s="116" t="str">
        <f t="shared" si="6"/>
        <v/>
      </c>
      <c r="E102" s="437" t="str">
        <f t="shared" si="7"/>
        <v/>
      </c>
      <c r="F102" s="438"/>
      <c r="G102" s="439" t="str">
        <f>IF(ISBLANK(A102),"",VLOOKUP(B102,Ceilings!$A$4:$F$206,3,0))</f>
        <v/>
      </c>
      <c r="H102" s="439" t="str">
        <f t="shared" si="8"/>
        <v/>
      </c>
      <c r="I102" s="440"/>
      <c r="J102" s="439" t="str">
        <f>IF(ISBLANK(A102),"",VLOOKUP(B102,Ceilings!$A$4:$F$206,4,0))</f>
        <v/>
      </c>
      <c r="K102" s="439" t="str">
        <f t="shared" si="9"/>
        <v/>
      </c>
      <c r="L102" s="440"/>
      <c r="M102" s="439" t="str">
        <f>IF(ISBLANK(A102),"",VLOOKUP(B102,Ceilings!$A$4:$F$206,5,0))</f>
        <v/>
      </c>
      <c r="N102" s="439" t="str">
        <f t="shared" si="10"/>
        <v/>
      </c>
      <c r="O102" s="440"/>
      <c r="P102" s="439" t="str">
        <f>IF(ISBLANK(A102),"",VLOOKUP(B102,Ceilings!$A$4:$F$206,6,0))</f>
        <v/>
      </c>
      <c r="Q102" s="282" t="str">
        <f t="shared" si="11"/>
        <v/>
      </c>
    </row>
    <row r="103" spans="1:17">
      <c r="A103" s="434"/>
      <c r="B103" s="435" t="str">
        <f>IF(ISBLANK(A103),"",VLOOKUP(A103,Management!$A$6:$C$20,2,0))</f>
        <v/>
      </c>
      <c r="C103" s="436"/>
      <c r="D103" s="116" t="str">
        <f t="shared" si="6"/>
        <v/>
      </c>
      <c r="E103" s="437" t="str">
        <f t="shared" si="7"/>
        <v/>
      </c>
      <c r="F103" s="438"/>
      <c r="G103" s="439" t="str">
        <f>IF(ISBLANK(A103),"",VLOOKUP(B103,Ceilings!$A$4:$F$206,3,0))</f>
        <v/>
      </c>
      <c r="H103" s="439" t="str">
        <f t="shared" si="8"/>
        <v/>
      </c>
      <c r="I103" s="440"/>
      <c r="J103" s="439" t="str">
        <f>IF(ISBLANK(A103),"",VLOOKUP(B103,Ceilings!$A$4:$F$206,4,0))</f>
        <v/>
      </c>
      <c r="K103" s="439" t="str">
        <f t="shared" si="9"/>
        <v/>
      </c>
      <c r="L103" s="440"/>
      <c r="M103" s="439" t="str">
        <f>IF(ISBLANK(A103),"",VLOOKUP(B103,Ceilings!$A$4:$F$206,5,0))</f>
        <v/>
      </c>
      <c r="N103" s="439" t="str">
        <f t="shared" si="10"/>
        <v/>
      </c>
      <c r="O103" s="440"/>
      <c r="P103" s="439" t="str">
        <f>IF(ISBLANK(A103),"",VLOOKUP(B103,Ceilings!$A$4:$F$206,6,0))</f>
        <v/>
      </c>
      <c r="Q103" s="282" t="str">
        <f t="shared" si="11"/>
        <v/>
      </c>
    </row>
    <row r="104" spans="1:17">
      <c r="A104" s="434"/>
      <c r="B104" s="435" t="str">
        <f>IF(ISBLANK(A104),"",VLOOKUP(A104,Management!$A$6:$C$20,2,0))</f>
        <v/>
      </c>
      <c r="C104" s="436"/>
      <c r="D104" s="116" t="str">
        <f t="shared" si="6"/>
        <v/>
      </c>
      <c r="E104" s="437" t="str">
        <f t="shared" si="7"/>
        <v/>
      </c>
      <c r="F104" s="438"/>
      <c r="G104" s="439" t="str">
        <f>IF(ISBLANK(A104),"",VLOOKUP(B104,Ceilings!$A$4:$F$206,3,0))</f>
        <v/>
      </c>
      <c r="H104" s="439" t="str">
        <f t="shared" si="8"/>
        <v/>
      </c>
      <c r="I104" s="440"/>
      <c r="J104" s="439" t="str">
        <f>IF(ISBLANK(A104),"",VLOOKUP(B104,Ceilings!$A$4:$F$206,4,0))</f>
        <v/>
      </c>
      <c r="K104" s="439" t="str">
        <f t="shared" si="9"/>
        <v/>
      </c>
      <c r="L104" s="440"/>
      <c r="M104" s="439" t="str">
        <f>IF(ISBLANK(A104),"",VLOOKUP(B104,Ceilings!$A$4:$F$206,5,0))</f>
        <v/>
      </c>
      <c r="N104" s="439" t="str">
        <f t="shared" si="10"/>
        <v/>
      </c>
      <c r="O104" s="440"/>
      <c r="P104" s="439" t="str">
        <f>IF(ISBLANK(A104),"",VLOOKUP(B104,Ceilings!$A$4:$F$206,6,0))</f>
        <v/>
      </c>
      <c r="Q104" s="282" t="str">
        <f t="shared" si="11"/>
        <v/>
      </c>
    </row>
    <row r="105" spans="1:17">
      <c r="A105" s="434"/>
      <c r="B105" s="435" t="str">
        <f>IF(ISBLANK(A105),"",VLOOKUP(A105,Management!$A$6:$C$20,2,0))</f>
        <v/>
      </c>
      <c r="C105" s="436"/>
      <c r="D105" s="116" t="str">
        <f t="shared" si="6"/>
        <v/>
      </c>
      <c r="E105" s="437" t="str">
        <f t="shared" si="7"/>
        <v/>
      </c>
      <c r="F105" s="438"/>
      <c r="G105" s="439" t="str">
        <f>IF(ISBLANK(A105),"",VLOOKUP(B105,Ceilings!$A$4:$F$206,3,0))</f>
        <v/>
      </c>
      <c r="H105" s="439" t="str">
        <f t="shared" si="8"/>
        <v/>
      </c>
      <c r="I105" s="440"/>
      <c r="J105" s="439" t="str">
        <f>IF(ISBLANK(A105),"",VLOOKUP(B105,Ceilings!$A$4:$F$206,4,0))</f>
        <v/>
      </c>
      <c r="K105" s="439" t="str">
        <f t="shared" si="9"/>
        <v/>
      </c>
      <c r="L105" s="440"/>
      <c r="M105" s="439" t="str">
        <f>IF(ISBLANK(A105),"",VLOOKUP(B105,Ceilings!$A$4:$F$206,5,0))</f>
        <v/>
      </c>
      <c r="N105" s="439" t="str">
        <f t="shared" si="10"/>
        <v/>
      </c>
      <c r="O105" s="440"/>
      <c r="P105" s="439" t="str">
        <f>IF(ISBLANK(A105),"",VLOOKUP(B105,Ceilings!$A$4:$F$206,6,0))</f>
        <v/>
      </c>
      <c r="Q105" s="282" t="str">
        <f t="shared" si="11"/>
        <v/>
      </c>
    </row>
    <row r="106" spans="1:17">
      <c r="A106" s="434"/>
      <c r="B106" s="435" t="str">
        <f>IF(ISBLANK(A106),"",VLOOKUP(A106,Management!$A$6:$C$20,2,0))</f>
        <v/>
      </c>
      <c r="C106" s="436"/>
      <c r="D106" s="116" t="str">
        <f t="shared" si="6"/>
        <v/>
      </c>
      <c r="E106" s="437" t="str">
        <f t="shared" si="7"/>
        <v/>
      </c>
      <c r="F106" s="438"/>
      <c r="G106" s="439" t="str">
        <f>IF(ISBLANK(A106),"",VLOOKUP(B106,Ceilings!$A$4:$F$206,3,0))</f>
        <v/>
      </c>
      <c r="H106" s="439" t="str">
        <f t="shared" si="8"/>
        <v/>
      </c>
      <c r="I106" s="440"/>
      <c r="J106" s="439" t="str">
        <f>IF(ISBLANK(A106),"",VLOOKUP(B106,Ceilings!$A$4:$F$206,4,0))</f>
        <v/>
      </c>
      <c r="K106" s="439" t="str">
        <f t="shared" si="9"/>
        <v/>
      </c>
      <c r="L106" s="440"/>
      <c r="M106" s="439" t="str">
        <f>IF(ISBLANK(A106),"",VLOOKUP(B106,Ceilings!$A$4:$F$206,5,0))</f>
        <v/>
      </c>
      <c r="N106" s="439" t="str">
        <f t="shared" si="10"/>
        <v/>
      </c>
      <c r="O106" s="440"/>
      <c r="P106" s="439" t="str">
        <f>IF(ISBLANK(A106),"",VLOOKUP(B106,Ceilings!$A$4:$F$206,6,0))</f>
        <v/>
      </c>
      <c r="Q106" s="282" t="str">
        <f t="shared" si="11"/>
        <v/>
      </c>
    </row>
    <row r="107" spans="1:17">
      <c r="A107" s="434"/>
      <c r="B107" s="435" t="str">
        <f>IF(ISBLANK(A107),"",VLOOKUP(A107,Management!$A$6:$C$20,2,0))</f>
        <v/>
      </c>
      <c r="C107" s="436"/>
      <c r="D107" s="116" t="str">
        <f t="shared" si="6"/>
        <v/>
      </c>
      <c r="E107" s="437" t="str">
        <f t="shared" si="7"/>
        <v/>
      </c>
      <c r="F107" s="438"/>
      <c r="G107" s="439" t="str">
        <f>IF(ISBLANK(A107),"",VLOOKUP(B107,Ceilings!$A$4:$F$206,3,0))</f>
        <v/>
      </c>
      <c r="H107" s="439" t="str">
        <f t="shared" si="8"/>
        <v/>
      </c>
      <c r="I107" s="440"/>
      <c r="J107" s="439" t="str">
        <f>IF(ISBLANK(A107),"",VLOOKUP(B107,Ceilings!$A$4:$F$206,4,0))</f>
        <v/>
      </c>
      <c r="K107" s="439" t="str">
        <f t="shared" si="9"/>
        <v/>
      </c>
      <c r="L107" s="440"/>
      <c r="M107" s="439" t="str">
        <f>IF(ISBLANK(A107),"",VLOOKUP(B107,Ceilings!$A$4:$F$206,5,0))</f>
        <v/>
      </c>
      <c r="N107" s="439" t="str">
        <f t="shared" si="10"/>
        <v/>
      </c>
      <c r="O107" s="440"/>
      <c r="P107" s="439" t="str">
        <f>IF(ISBLANK(A107),"",VLOOKUP(B107,Ceilings!$A$4:$F$206,6,0))</f>
        <v/>
      </c>
      <c r="Q107" s="282" t="str">
        <f t="shared" si="11"/>
        <v/>
      </c>
    </row>
    <row r="108" spans="1:17">
      <c r="A108" s="434"/>
      <c r="B108" s="435" t="str">
        <f>IF(ISBLANK(A108),"",VLOOKUP(A108,Management!$A$6:$C$20,2,0))</f>
        <v/>
      </c>
      <c r="C108" s="436"/>
      <c r="D108" s="116" t="str">
        <f t="shared" si="6"/>
        <v/>
      </c>
      <c r="E108" s="437" t="str">
        <f t="shared" si="7"/>
        <v/>
      </c>
      <c r="F108" s="438"/>
      <c r="G108" s="439" t="str">
        <f>IF(ISBLANK(A108),"",VLOOKUP(B108,Ceilings!$A$4:$F$206,3,0))</f>
        <v/>
      </c>
      <c r="H108" s="439" t="str">
        <f t="shared" si="8"/>
        <v/>
      </c>
      <c r="I108" s="440"/>
      <c r="J108" s="439" t="str">
        <f>IF(ISBLANK(A108),"",VLOOKUP(B108,Ceilings!$A$4:$F$206,4,0))</f>
        <v/>
      </c>
      <c r="K108" s="439" t="str">
        <f t="shared" si="9"/>
        <v/>
      </c>
      <c r="L108" s="440"/>
      <c r="M108" s="439" t="str">
        <f>IF(ISBLANK(A108),"",VLOOKUP(B108,Ceilings!$A$4:$F$206,5,0))</f>
        <v/>
      </c>
      <c r="N108" s="439" t="str">
        <f t="shared" si="10"/>
        <v/>
      </c>
      <c r="O108" s="440"/>
      <c r="P108" s="439" t="str">
        <f>IF(ISBLANK(A108),"",VLOOKUP(B108,Ceilings!$A$4:$F$206,6,0))</f>
        <v/>
      </c>
      <c r="Q108" s="282" t="str">
        <f t="shared" si="11"/>
        <v/>
      </c>
    </row>
    <row r="109" spans="1:17" ht="13.5" thickBot="1">
      <c r="A109" s="442"/>
      <c r="B109" s="96" t="str">
        <f>IF(ISBLANK(A109),"",VLOOKUP(A109,Management!$A$6:$C$20,2,0))</f>
        <v/>
      </c>
      <c r="C109" s="443"/>
      <c r="D109" s="120" t="str">
        <f t="shared" si="6"/>
        <v/>
      </c>
      <c r="E109" s="444" t="str">
        <f t="shared" si="7"/>
        <v/>
      </c>
      <c r="F109" s="445"/>
      <c r="G109" s="446" t="str">
        <f>IF(ISBLANK(A109),"",VLOOKUP(B109,Ceilings!$A$4:$F$206,3,0))</f>
        <v/>
      </c>
      <c r="H109" s="446" t="str">
        <f t="shared" si="8"/>
        <v/>
      </c>
      <c r="I109" s="447"/>
      <c r="J109" s="446" t="str">
        <f>IF(ISBLANK(A109),"",VLOOKUP(B109,Ceilings!$A$4:$F$206,4,0))</f>
        <v/>
      </c>
      <c r="K109" s="446" t="str">
        <f t="shared" si="9"/>
        <v/>
      </c>
      <c r="L109" s="447"/>
      <c r="M109" s="446" t="str">
        <f>IF(ISBLANK(A109),"",VLOOKUP(B109,Ceilings!$A$4:$F$206,5,0))</f>
        <v/>
      </c>
      <c r="N109" s="446" t="str">
        <f t="shared" si="10"/>
        <v/>
      </c>
      <c r="O109" s="447"/>
      <c r="P109" s="446" t="str">
        <f>IF(ISBLANK(A109),"",VLOOKUP(B109,Ceilings!$A$4:$F$206,6,0))</f>
        <v/>
      </c>
      <c r="Q109" s="285" t="str">
        <f t="shared" si="11"/>
        <v/>
      </c>
    </row>
    <row r="111" spans="1:17">
      <c r="A111" s="448"/>
    </row>
  </sheetData>
  <sheetProtection sort="0" autoFilter="0"/>
  <mergeCells count="10">
    <mergeCell ref="A4:A5"/>
    <mergeCell ref="B4:B5"/>
    <mergeCell ref="D4:D5"/>
    <mergeCell ref="E4:E5"/>
    <mergeCell ref="C4:C5"/>
    <mergeCell ref="F3:Q3"/>
    <mergeCell ref="F4:H4"/>
    <mergeCell ref="I4:K4"/>
    <mergeCell ref="L4:N4"/>
    <mergeCell ref="O4:Q4"/>
  </mergeCells>
  <phoneticPr fontId="7" type="noConversion"/>
  <dataValidations count="1">
    <dataValidation type="list" allowBlank="1" showInputMessage="1" showErrorMessage="1" sqref="A8:A109">
      <formula1>Partners</formula1>
    </dataValidation>
  </dataValidations>
  <printOptions horizontalCentered="1"/>
  <pageMargins left="0.27559055118110237" right="0.27559055118110237" top="0.59055118110236227" bottom="0.59055118110236227" header="0.31496062992125984" footer="0.31496062992125984"/>
  <pageSetup paperSize="9" scale="74" fitToHeight="0" orientation="landscape" r:id="rId1"/>
  <headerFooter>
    <oddHeader>&amp;C&amp;11 2016. E+ KA204&amp;RVersion: 2016.01.17. - TKA</oddHeader>
    <oddFooter>&amp;C&amp;"Arial,Félkövér"&amp;A&amp;R&amp;P. oldal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0000"/>
  </sheetPr>
  <dimension ref="A1:I36"/>
  <sheetViews>
    <sheetView zoomScaleNormal="100" zoomScaleSheetLayoutView="100" workbookViewId="0">
      <selection activeCell="A6" sqref="A6"/>
    </sheetView>
  </sheetViews>
  <sheetFormatPr defaultColWidth="8.85546875" defaultRowHeight="12.75"/>
  <cols>
    <col min="1" max="1" width="6.140625" style="64" customWidth="1"/>
    <col min="2" max="2" width="14.7109375" style="59" customWidth="1"/>
    <col min="3" max="3" width="25.140625" style="59" customWidth="1"/>
    <col min="4" max="4" width="15.7109375" style="61" customWidth="1"/>
    <col min="5" max="5" width="10" style="77" customWidth="1"/>
    <col min="6" max="6" width="11" style="78" customWidth="1"/>
    <col min="7" max="7" width="13.28515625" style="78" customWidth="1"/>
    <col min="8" max="8" width="11.7109375" style="78" customWidth="1"/>
    <col min="9" max="9" width="32.42578125" style="75" customWidth="1"/>
    <col min="10" max="16384" width="8.85546875" style="30"/>
  </cols>
  <sheetData>
    <row r="1" spans="1:9" s="66" customFormat="1" ht="24.75" customHeight="1">
      <c r="A1" s="191" t="s">
        <v>153</v>
      </c>
      <c r="B1" s="192"/>
      <c r="C1" s="192"/>
      <c r="D1" s="505" t="s">
        <v>447</v>
      </c>
      <c r="E1" s="506"/>
      <c r="G1" s="288" t="s">
        <v>320</v>
      </c>
      <c r="H1" s="221">
        <v>100</v>
      </c>
      <c r="I1" s="65"/>
    </row>
    <row r="2" spans="1:9" s="66" customFormat="1" ht="24.75" customHeight="1" thickBot="1">
      <c r="A2" s="195" t="s">
        <v>0</v>
      </c>
      <c r="B2" s="196"/>
      <c r="C2" s="196"/>
      <c r="D2" s="507"/>
      <c r="E2" s="508"/>
      <c r="G2" s="289" t="s">
        <v>321</v>
      </c>
      <c r="H2" s="291">
        <v>200</v>
      </c>
      <c r="I2" s="65"/>
    </row>
    <row r="3" spans="1:9" s="180" customFormat="1" ht="13.5" customHeight="1" thickBot="1">
      <c r="A3" s="194"/>
      <c r="B3" s="194"/>
      <c r="C3" s="194"/>
      <c r="D3" s="194"/>
      <c r="E3" s="194"/>
      <c r="F3" s="194"/>
      <c r="G3" s="194"/>
      <c r="H3" s="194"/>
      <c r="I3" s="179"/>
    </row>
    <row r="4" spans="1:9" s="69" customFormat="1" ht="26.25" thickBot="1">
      <c r="A4" s="210" t="s">
        <v>319</v>
      </c>
      <c r="B4" s="211" t="s">
        <v>32</v>
      </c>
      <c r="C4" s="211" t="s">
        <v>143</v>
      </c>
      <c r="D4" s="223" t="s">
        <v>431</v>
      </c>
      <c r="E4" s="224" t="s">
        <v>132</v>
      </c>
      <c r="F4" s="225" t="s">
        <v>144</v>
      </c>
      <c r="G4" s="225" t="s">
        <v>145</v>
      </c>
      <c r="H4" s="225" t="s">
        <v>146</v>
      </c>
      <c r="I4" s="68"/>
    </row>
    <row r="5" spans="1:9" s="66" customFormat="1" ht="13.5" customHeight="1" thickBot="1">
      <c r="A5" s="233"/>
      <c r="B5" s="258"/>
      <c r="C5" s="258"/>
      <c r="D5" s="258"/>
      <c r="E5" s="217" t="s">
        <v>334</v>
      </c>
      <c r="F5" s="70">
        <f>SUM(F6:F36)</f>
        <v>0</v>
      </c>
      <c r="G5" s="71">
        <f>SUM(G6:G36)</f>
        <v>0</v>
      </c>
      <c r="H5" s="299">
        <f>SUM(H6:H36)</f>
        <v>0</v>
      </c>
      <c r="I5" s="72" t="str">
        <f>IF(H5&gt;30000,"Maximum 30000 EUR per project!","")</f>
        <v/>
      </c>
    </row>
    <row r="6" spans="1:9" ht="13.5" customHeight="1">
      <c r="A6" s="49"/>
      <c r="B6" s="73" t="str">
        <f>IF(ISBLANK(A6),"",VLOOKUP(A6,Management!$A$6:$C$20,2,0))</f>
        <v/>
      </c>
      <c r="C6" s="133"/>
      <c r="D6" s="144"/>
      <c r="E6" s="79"/>
      <c r="F6" s="80"/>
      <c r="G6" s="80"/>
      <c r="H6" s="270" t="str">
        <f>IF(ISBLANK(A6),"",IF(OR(ISBLANK(C6),ISBLANK(D6),ISBLANK(E6),AND(ISBLANK(F6),ISBLANK(G6))),"Missing data",F6*$H$1+G6*$H$2))</f>
        <v/>
      </c>
    </row>
    <row r="7" spans="1:9">
      <c r="A7" s="52"/>
      <c r="B7" s="74" t="str">
        <f>IF(ISBLANK(A7),"",VLOOKUP(A7,Management!$A$6:$C$20,2,0))</f>
        <v/>
      </c>
      <c r="C7" s="42"/>
      <c r="D7" s="145"/>
      <c r="E7" s="81"/>
      <c r="F7" s="82"/>
      <c r="G7" s="82"/>
      <c r="H7" s="116" t="str">
        <f t="shared" ref="H7:H36" si="0">IF(ISBLANK(A7),"",IF(OR(ISBLANK(C7),ISBLANK(D7),ISBLANK(E7),AND(ISBLANK(F7),ISBLANK(G7))),"Missing data",F7*$H$1+G7*$H$2))</f>
        <v/>
      </c>
    </row>
    <row r="8" spans="1:9">
      <c r="A8" s="52"/>
      <c r="B8" s="74" t="str">
        <f>IF(ISBLANK(A8),"",VLOOKUP(A8,Management!$A$6:$C$20,2,0))</f>
        <v/>
      </c>
      <c r="C8" s="42"/>
      <c r="D8" s="145"/>
      <c r="E8" s="81"/>
      <c r="F8" s="82"/>
      <c r="G8" s="82"/>
      <c r="H8" s="116" t="str">
        <f t="shared" si="0"/>
        <v/>
      </c>
    </row>
    <row r="9" spans="1:9">
      <c r="A9" s="52"/>
      <c r="B9" s="74" t="str">
        <f>IF(ISBLANK(A9),"",VLOOKUP(A9,Management!$A$6:$C$20,2,0))</f>
        <v/>
      </c>
      <c r="C9" s="42"/>
      <c r="D9" s="145"/>
      <c r="E9" s="81"/>
      <c r="F9" s="82"/>
      <c r="G9" s="82"/>
      <c r="H9" s="116" t="str">
        <f t="shared" si="0"/>
        <v/>
      </c>
    </row>
    <row r="10" spans="1:9">
      <c r="A10" s="52"/>
      <c r="B10" s="74" t="str">
        <f>IF(ISBLANK(A10),"",VLOOKUP(A10,Management!$A$6:$C$20,2,0))</f>
        <v/>
      </c>
      <c r="C10" s="42"/>
      <c r="D10" s="145"/>
      <c r="E10" s="81"/>
      <c r="F10" s="82"/>
      <c r="G10" s="82"/>
      <c r="H10" s="116" t="str">
        <f t="shared" si="0"/>
        <v/>
      </c>
    </row>
    <row r="11" spans="1:9" ht="13.5" customHeight="1">
      <c r="A11" s="52"/>
      <c r="B11" s="74" t="str">
        <f>IF(ISBLANK(A11),"",VLOOKUP(A11,Management!$A$6:$C$20,2,0))</f>
        <v/>
      </c>
      <c r="C11" s="42"/>
      <c r="D11" s="145"/>
      <c r="E11" s="81"/>
      <c r="F11" s="82"/>
      <c r="G11" s="82"/>
      <c r="H11" s="116" t="str">
        <f t="shared" si="0"/>
        <v/>
      </c>
    </row>
    <row r="12" spans="1:9">
      <c r="A12" s="52"/>
      <c r="B12" s="74" t="str">
        <f>IF(ISBLANK(A12),"",VLOOKUP(A12,Management!$A$6:$C$20,2,0))</f>
        <v/>
      </c>
      <c r="C12" s="42"/>
      <c r="D12" s="145"/>
      <c r="E12" s="81"/>
      <c r="F12" s="82"/>
      <c r="G12" s="82"/>
      <c r="H12" s="116" t="str">
        <f t="shared" si="0"/>
        <v/>
      </c>
    </row>
    <row r="13" spans="1:9">
      <c r="A13" s="52"/>
      <c r="B13" s="74" t="str">
        <f>IF(ISBLANK(A13),"",VLOOKUP(A13,Management!$A$6:$C$20,2,0))</f>
        <v/>
      </c>
      <c r="C13" s="42"/>
      <c r="D13" s="145"/>
      <c r="E13" s="81"/>
      <c r="F13" s="82"/>
      <c r="G13" s="82"/>
      <c r="H13" s="116" t="str">
        <f t="shared" si="0"/>
        <v/>
      </c>
    </row>
    <row r="14" spans="1:9">
      <c r="A14" s="52"/>
      <c r="B14" s="74" t="str">
        <f>IF(ISBLANK(A14),"",VLOOKUP(A14,Management!$A$6:$C$20,2,0))</f>
        <v/>
      </c>
      <c r="C14" s="42"/>
      <c r="D14" s="145"/>
      <c r="E14" s="81"/>
      <c r="F14" s="82"/>
      <c r="G14" s="82"/>
      <c r="H14" s="116" t="str">
        <f t="shared" si="0"/>
        <v/>
      </c>
    </row>
    <row r="15" spans="1:9">
      <c r="A15" s="52"/>
      <c r="B15" s="74" t="str">
        <f>IF(ISBLANK(A15),"",VLOOKUP(A15,Management!$A$6:$C$20,2,0))</f>
        <v/>
      </c>
      <c r="C15" s="42"/>
      <c r="D15" s="145"/>
      <c r="E15" s="81"/>
      <c r="F15" s="82"/>
      <c r="G15" s="82"/>
      <c r="H15" s="116" t="str">
        <f t="shared" si="0"/>
        <v/>
      </c>
    </row>
    <row r="16" spans="1:9" ht="13.5" customHeight="1">
      <c r="A16" s="52"/>
      <c r="B16" s="74" t="str">
        <f>IF(ISBLANK(A16),"",VLOOKUP(A16,Management!$A$6:$C$20,2,0))</f>
        <v/>
      </c>
      <c r="C16" s="42"/>
      <c r="D16" s="145"/>
      <c r="E16" s="81"/>
      <c r="F16" s="82"/>
      <c r="G16" s="82"/>
      <c r="H16" s="116" t="str">
        <f t="shared" si="0"/>
        <v/>
      </c>
    </row>
    <row r="17" spans="1:8">
      <c r="A17" s="52"/>
      <c r="B17" s="74" t="str">
        <f>IF(ISBLANK(A17),"",VLOOKUP(A17,Management!$A$6:$C$20,2,0))</f>
        <v/>
      </c>
      <c r="C17" s="42"/>
      <c r="D17" s="145"/>
      <c r="E17" s="81"/>
      <c r="F17" s="82"/>
      <c r="G17" s="82"/>
      <c r="H17" s="116" t="str">
        <f t="shared" si="0"/>
        <v/>
      </c>
    </row>
    <row r="18" spans="1:8">
      <c r="A18" s="52"/>
      <c r="B18" s="74" t="str">
        <f>IF(ISBLANK(A18),"",VLOOKUP(A18,Management!$A$6:$C$20,2,0))</f>
        <v/>
      </c>
      <c r="C18" s="42"/>
      <c r="D18" s="145"/>
      <c r="E18" s="81"/>
      <c r="F18" s="82"/>
      <c r="G18" s="82"/>
      <c r="H18" s="116" t="str">
        <f t="shared" si="0"/>
        <v/>
      </c>
    </row>
    <row r="19" spans="1:8">
      <c r="A19" s="52"/>
      <c r="B19" s="74" t="str">
        <f>IF(ISBLANK(A19),"",VLOOKUP(A19,Management!$A$6:$C$20,2,0))</f>
        <v/>
      </c>
      <c r="C19" s="42"/>
      <c r="D19" s="145"/>
      <c r="E19" s="81"/>
      <c r="F19" s="82"/>
      <c r="G19" s="82"/>
      <c r="H19" s="116" t="str">
        <f t="shared" si="0"/>
        <v/>
      </c>
    </row>
    <row r="20" spans="1:8">
      <c r="A20" s="52"/>
      <c r="B20" s="74" t="str">
        <f>IF(ISBLANK(A20),"",VLOOKUP(A20,Management!$A$6:$C$20,2,0))</f>
        <v/>
      </c>
      <c r="C20" s="42"/>
      <c r="D20" s="145"/>
      <c r="E20" s="81"/>
      <c r="F20" s="82"/>
      <c r="G20" s="82"/>
      <c r="H20" s="116" t="str">
        <f t="shared" si="0"/>
        <v/>
      </c>
    </row>
    <row r="21" spans="1:8" ht="13.5" customHeight="1">
      <c r="A21" s="52"/>
      <c r="B21" s="74" t="str">
        <f>IF(ISBLANK(A21),"",VLOOKUP(A21,Management!$A$6:$C$20,2,0))</f>
        <v/>
      </c>
      <c r="C21" s="42"/>
      <c r="D21" s="145"/>
      <c r="E21" s="81"/>
      <c r="F21" s="82"/>
      <c r="G21" s="82"/>
      <c r="H21" s="116" t="str">
        <f t="shared" si="0"/>
        <v/>
      </c>
    </row>
    <row r="22" spans="1:8">
      <c r="A22" s="52"/>
      <c r="B22" s="74" t="str">
        <f>IF(ISBLANK(A22),"",VLOOKUP(A22,Management!$A$6:$C$20,2,0))</f>
        <v/>
      </c>
      <c r="C22" s="42"/>
      <c r="D22" s="145"/>
      <c r="E22" s="81"/>
      <c r="F22" s="82"/>
      <c r="G22" s="82"/>
      <c r="H22" s="116" t="str">
        <f t="shared" si="0"/>
        <v/>
      </c>
    </row>
    <row r="23" spans="1:8">
      <c r="A23" s="52"/>
      <c r="B23" s="74" t="str">
        <f>IF(ISBLANK(A23),"",VLOOKUP(A23,Management!$A$6:$C$20,2,0))</f>
        <v/>
      </c>
      <c r="C23" s="42"/>
      <c r="D23" s="145"/>
      <c r="E23" s="81"/>
      <c r="F23" s="82"/>
      <c r="G23" s="82"/>
      <c r="H23" s="116" t="str">
        <f t="shared" si="0"/>
        <v/>
      </c>
    </row>
    <row r="24" spans="1:8">
      <c r="A24" s="52"/>
      <c r="B24" s="74" t="str">
        <f>IF(ISBLANK(A24),"",VLOOKUP(A24,Management!$A$6:$C$20,2,0))</f>
        <v/>
      </c>
      <c r="C24" s="42"/>
      <c r="D24" s="145"/>
      <c r="E24" s="81"/>
      <c r="F24" s="82"/>
      <c r="G24" s="82"/>
      <c r="H24" s="116" t="str">
        <f t="shared" si="0"/>
        <v/>
      </c>
    </row>
    <row r="25" spans="1:8">
      <c r="A25" s="52"/>
      <c r="B25" s="74" t="str">
        <f>IF(ISBLANK(A25),"",VLOOKUP(A25,Management!$A$6:$C$20,2,0))</f>
        <v/>
      </c>
      <c r="C25" s="42"/>
      <c r="D25" s="145"/>
      <c r="E25" s="81"/>
      <c r="F25" s="82"/>
      <c r="G25" s="82"/>
      <c r="H25" s="116" t="str">
        <f t="shared" si="0"/>
        <v/>
      </c>
    </row>
    <row r="26" spans="1:8" ht="13.5" customHeight="1">
      <c r="A26" s="52"/>
      <c r="B26" s="74" t="str">
        <f>IF(ISBLANK(A26),"",VLOOKUP(A26,Management!$A$6:$C$20,2,0))</f>
        <v/>
      </c>
      <c r="C26" s="42"/>
      <c r="D26" s="145"/>
      <c r="E26" s="81"/>
      <c r="F26" s="82"/>
      <c r="G26" s="82"/>
      <c r="H26" s="116" t="str">
        <f t="shared" si="0"/>
        <v/>
      </c>
    </row>
    <row r="27" spans="1:8">
      <c r="A27" s="52"/>
      <c r="B27" s="74" t="str">
        <f>IF(ISBLANK(A27),"",VLOOKUP(A27,Management!$A$6:$C$20,2,0))</f>
        <v/>
      </c>
      <c r="C27" s="42"/>
      <c r="D27" s="145"/>
      <c r="E27" s="81"/>
      <c r="F27" s="82"/>
      <c r="G27" s="82"/>
      <c r="H27" s="116" t="str">
        <f t="shared" si="0"/>
        <v/>
      </c>
    </row>
    <row r="28" spans="1:8">
      <c r="A28" s="52"/>
      <c r="B28" s="74" t="str">
        <f>IF(ISBLANK(A28),"",VLOOKUP(A28,Management!$A$6:$C$20,2,0))</f>
        <v/>
      </c>
      <c r="C28" s="42"/>
      <c r="D28" s="145"/>
      <c r="E28" s="81"/>
      <c r="F28" s="82"/>
      <c r="G28" s="82"/>
      <c r="H28" s="116" t="str">
        <f t="shared" si="0"/>
        <v/>
      </c>
    </row>
    <row r="29" spans="1:8">
      <c r="A29" s="52"/>
      <c r="B29" s="74" t="str">
        <f>IF(ISBLANK(A29),"",VLOOKUP(A29,Management!$A$6:$C$20,2,0))</f>
        <v/>
      </c>
      <c r="C29" s="42"/>
      <c r="D29" s="145"/>
      <c r="E29" s="81"/>
      <c r="F29" s="82"/>
      <c r="G29" s="82"/>
      <c r="H29" s="116" t="str">
        <f t="shared" si="0"/>
        <v/>
      </c>
    </row>
    <row r="30" spans="1:8">
      <c r="A30" s="52"/>
      <c r="B30" s="74" t="str">
        <f>IF(ISBLANK(A30),"",VLOOKUP(A30,Management!$A$6:$C$20,2,0))</f>
        <v/>
      </c>
      <c r="C30" s="42"/>
      <c r="D30" s="145"/>
      <c r="E30" s="81"/>
      <c r="F30" s="82"/>
      <c r="G30" s="82"/>
      <c r="H30" s="116" t="str">
        <f t="shared" si="0"/>
        <v/>
      </c>
    </row>
    <row r="31" spans="1:8" ht="13.5" customHeight="1">
      <c r="A31" s="52"/>
      <c r="B31" s="74" t="str">
        <f>IF(ISBLANK(A31),"",VLOOKUP(A31,Management!$A$6:$C$20,2,0))</f>
        <v/>
      </c>
      <c r="C31" s="42"/>
      <c r="D31" s="145"/>
      <c r="E31" s="81"/>
      <c r="F31" s="82"/>
      <c r="G31" s="82"/>
      <c r="H31" s="116" t="str">
        <f t="shared" si="0"/>
        <v/>
      </c>
    </row>
    <row r="32" spans="1:8">
      <c r="A32" s="52"/>
      <c r="B32" s="74" t="str">
        <f>IF(ISBLANK(A32),"",VLOOKUP(A32,Management!$A$6:$C$20,2,0))</f>
        <v/>
      </c>
      <c r="C32" s="42"/>
      <c r="D32" s="145"/>
      <c r="E32" s="81"/>
      <c r="F32" s="82"/>
      <c r="G32" s="82"/>
      <c r="H32" s="116" t="str">
        <f t="shared" si="0"/>
        <v/>
      </c>
    </row>
    <row r="33" spans="1:8">
      <c r="A33" s="52"/>
      <c r="B33" s="74" t="str">
        <f>IF(ISBLANK(A33),"",VLOOKUP(A33,Management!$A$6:$C$20,2,0))</f>
        <v/>
      </c>
      <c r="C33" s="42"/>
      <c r="D33" s="145"/>
      <c r="E33" s="81"/>
      <c r="F33" s="82"/>
      <c r="G33" s="82"/>
      <c r="H33" s="116" t="str">
        <f t="shared" si="0"/>
        <v/>
      </c>
    </row>
    <row r="34" spans="1:8">
      <c r="A34" s="52"/>
      <c r="B34" s="74" t="str">
        <f>IF(ISBLANK(A34),"",VLOOKUP(A34,Management!$A$6:$C$20,2,0))</f>
        <v/>
      </c>
      <c r="C34" s="42"/>
      <c r="D34" s="145"/>
      <c r="E34" s="81"/>
      <c r="F34" s="82"/>
      <c r="G34" s="82"/>
      <c r="H34" s="116" t="str">
        <f t="shared" si="0"/>
        <v/>
      </c>
    </row>
    <row r="35" spans="1:8">
      <c r="A35" s="52"/>
      <c r="B35" s="74" t="str">
        <f>IF(ISBLANK(A35),"",VLOOKUP(A35,Management!$A$6:$C$20,2,0))</f>
        <v/>
      </c>
      <c r="C35" s="42"/>
      <c r="D35" s="145"/>
      <c r="E35" s="81"/>
      <c r="F35" s="82"/>
      <c r="G35" s="82"/>
      <c r="H35" s="116" t="str">
        <f t="shared" si="0"/>
        <v/>
      </c>
    </row>
    <row r="36" spans="1:8" ht="13.5" customHeight="1" thickBot="1">
      <c r="A36" s="55"/>
      <c r="B36" s="76" t="str">
        <f>IF(ISBLANK(A36),"",VLOOKUP(A36,Management!$A$6:$C$20,2,0))</f>
        <v/>
      </c>
      <c r="C36" s="46"/>
      <c r="D36" s="146"/>
      <c r="E36" s="83"/>
      <c r="F36" s="84"/>
      <c r="G36" s="84"/>
      <c r="H36" s="120" t="str">
        <f t="shared" si="0"/>
        <v/>
      </c>
    </row>
  </sheetData>
  <sheetProtection password="CF02" sheet="1" objects="1" scenarios="1" sort="0" autoFilter="0"/>
  <mergeCells count="1">
    <mergeCell ref="D1:E2"/>
  </mergeCells>
  <phoneticPr fontId="7" type="noConversion"/>
  <conditionalFormatting sqref="H5">
    <cfRule type="expression" dxfId="17" priority="1" stopIfTrue="1">
      <formula>I5&lt;&gt;""</formula>
    </cfRule>
  </conditionalFormatting>
  <dataValidations count="2">
    <dataValidation type="date" allowBlank="1" showInputMessage="1" showErrorMessage="1" error="Out of project time frame" sqref="D6:D36">
      <formula1>Start</formula1>
      <formula2>End</formula2>
    </dataValidation>
    <dataValidation type="list" allowBlank="1" showInputMessage="1" showErrorMessage="1" sqref="A6:A36">
      <formula1>Partners</formula1>
    </dataValidation>
  </dataValidations>
  <printOptions horizontalCentered="1"/>
  <pageMargins left="0.59055118110236227" right="0.59055118110236227" top="0.6692913385826772" bottom="0.59055118110236227" header="0.31496062992125984" footer="0.31496062992125984"/>
  <pageSetup paperSize="9" orientation="landscape" r:id="rId1"/>
  <headerFooter>
    <oddHeader>&amp;C&amp;11 2016. E+ KA204&amp;R&amp;9Version: 2016.01.17. - TKA</oddHeader>
    <oddFooter>&amp;C&amp;"Arial,Félkövér"&amp;A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00"/>
    <pageSetUpPr fitToPage="1"/>
  </sheetPr>
  <dimension ref="A1:IX37"/>
  <sheetViews>
    <sheetView zoomScaleNormal="100" workbookViewId="0">
      <selection activeCell="A7" sqref="A7"/>
    </sheetView>
  </sheetViews>
  <sheetFormatPr defaultColWidth="8.85546875" defaultRowHeight="12.75"/>
  <cols>
    <col min="1" max="1" width="6.42578125" style="97" customWidth="1"/>
    <col min="2" max="2" width="12.7109375" style="98" bestFit="1" customWidth="1"/>
    <col min="3" max="3" width="6.85546875" style="77" bestFit="1" customWidth="1"/>
    <col min="4" max="4" width="37.42578125" style="99" bestFit="1" customWidth="1"/>
    <col min="5" max="5" width="10.42578125" style="77" bestFit="1" customWidth="1"/>
    <col min="6" max="6" width="5.28515625" style="77" customWidth="1"/>
    <col min="7" max="7" width="5" style="77" bestFit="1" customWidth="1"/>
    <col min="8" max="8" width="10.42578125" style="77" customWidth="1"/>
    <col min="9" max="9" width="5.28515625" style="77" customWidth="1"/>
    <col min="10" max="10" width="5" style="77" bestFit="1" customWidth="1"/>
    <col min="11" max="11" width="11.7109375" style="93" customWidth="1"/>
    <col min="12" max="12" width="17.28515625" style="100" bestFit="1" customWidth="1"/>
    <col min="13" max="13" width="10" style="78" bestFit="1" customWidth="1"/>
    <col min="14" max="15" width="10.7109375" style="78" customWidth="1"/>
    <col min="16" max="16" width="10.42578125" style="78" bestFit="1" customWidth="1"/>
    <col min="17" max="17" width="10.140625" style="78" bestFit="1" customWidth="1"/>
    <col min="18" max="18" width="9.140625" style="78" bestFit="1" customWidth="1"/>
    <col min="19" max="19" width="11.42578125" style="78" bestFit="1" customWidth="1"/>
    <col min="20" max="16384" width="8.85546875" style="93"/>
  </cols>
  <sheetData>
    <row r="1" spans="1:258" s="91" customFormat="1" ht="15.75" customHeight="1">
      <c r="A1" s="235" t="s">
        <v>434</v>
      </c>
      <c r="B1" s="236"/>
      <c r="C1" s="220"/>
      <c r="D1" s="237"/>
      <c r="E1" s="220"/>
      <c r="G1" s="514" t="s">
        <v>445</v>
      </c>
      <c r="H1" s="515"/>
      <c r="I1" s="515"/>
      <c r="J1" s="515"/>
      <c r="K1" s="515"/>
      <c r="L1" s="515"/>
      <c r="M1" s="515"/>
      <c r="N1" s="515"/>
      <c r="O1" s="516"/>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c r="IW1" s="93"/>
      <c r="IX1" s="93"/>
    </row>
    <row r="2" spans="1:258" s="91" customFormat="1" ht="16.5" thickBot="1">
      <c r="A2" s="238" t="s">
        <v>0</v>
      </c>
      <c r="B2" s="239"/>
      <c r="D2" s="527" t="s">
        <v>479</v>
      </c>
      <c r="E2" s="527"/>
      <c r="G2" s="511" t="s">
        <v>446</v>
      </c>
      <c r="H2" s="512"/>
      <c r="I2" s="512"/>
      <c r="J2" s="512"/>
      <c r="K2" s="512"/>
      <c r="L2" s="512"/>
      <c r="M2" s="512"/>
      <c r="N2" s="512"/>
      <c r="O2" s="51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row>
    <row r="3" spans="1:258" s="92" customFormat="1" ht="13.5" thickBot="1">
      <c r="A3" s="240" t="s">
        <v>1</v>
      </c>
      <c r="B3" s="241"/>
      <c r="C3" s="229"/>
      <c r="D3" s="242"/>
      <c r="E3" s="229"/>
      <c r="F3" s="229"/>
      <c r="G3" s="229"/>
      <c r="H3" s="229"/>
      <c r="I3" s="229"/>
      <c r="J3" s="229"/>
      <c r="K3" s="243"/>
      <c r="L3" s="244"/>
      <c r="M3" s="230"/>
      <c r="N3" s="230"/>
      <c r="O3" s="230"/>
      <c r="P3" s="230"/>
      <c r="Q3" s="230"/>
      <c r="R3" s="230"/>
      <c r="S3" s="230"/>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row>
    <row r="4" spans="1:258" s="92" customFormat="1" ht="12.75" customHeight="1">
      <c r="A4" s="481" t="s">
        <v>319</v>
      </c>
      <c r="B4" s="483" t="s">
        <v>32</v>
      </c>
      <c r="C4" s="487" t="s">
        <v>337</v>
      </c>
      <c r="D4" s="517" t="s">
        <v>154</v>
      </c>
      <c r="E4" s="487" t="s">
        <v>422</v>
      </c>
      <c r="F4" s="519" t="s">
        <v>451</v>
      </c>
      <c r="G4" s="520"/>
      <c r="H4" s="487" t="s">
        <v>421</v>
      </c>
      <c r="I4" s="523" t="s">
        <v>452</v>
      </c>
      <c r="J4" s="524"/>
      <c r="K4" s="519" t="s">
        <v>35</v>
      </c>
      <c r="L4" s="528" t="s">
        <v>130</v>
      </c>
      <c r="M4" s="530" t="s">
        <v>156</v>
      </c>
      <c r="N4" s="532" t="s">
        <v>343</v>
      </c>
      <c r="O4" s="533"/>
      <c r="P4" s="534"/>
      <c r="Q4" s="509" t="s">
        <v>341</v>
      </c>
      <c r="R4" s="510"/>
      <c r="S4" s="489" t="s">
        <v>142</v>
      </c>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row>
    <row r="5" spans="1:258" s="123" customFormat="1" ht="26.25" thickBot="1">
      <c r="A5" s="482"/>
      <c r="B5" s="484"/>
      <c r="C5" s="488"/>
      <c r="D5" s="518"/>
      <c r="E5" s="488"/>
      <c r="F5" s="521"/>
      <c r="G5" s="522"/>
      <c r="H5" s="488"/>
      <c r="I5" s="525"/>
      <c r="J5" s="526"/>
      <c r="K5" s="521"/>
      <c r="L5" s="529"/>
      <c r="M5" s="531"/>
      <c r="N5" s="245" t="s">
        <v>344</v>
      </c>
      <c r="O5" s="246" t="s">
        <v>423</v>
      </c>
      <c r="P5" s="247" t="s">
        <v>342</v>
      </c>
      <c r="Q5" s="336" t="s">
        <v>155</v>
      </c>
      <c r="R5" s="247" t="s">
        <v>342</v>
      </c>
      <c r="S5" s="490"/>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c r="IV5" s="93"/>
      <c r="IW5" s="93"/>
      <c r="IX5" s="93"/>
    </row>
    <row r="6" spans="1:258" ht="13.5" thickBot="1">
      <c r="A6" s="248"/>
      <c r="B6" s="249"/>
      <c r="C6" s="250"/>
      <c r="D6" s="251"/>
      <c r="E6" s="250"/>
      <c r="F6" s="250"/>
      <c r="G6" s="250"/>
      <c r="H6" s="250"/>
      <c r="I6" s="250"/>
      <c r="J6" s="250"/>
      <c r="K6" s="251"/>
      <c r="L6" s="252" t="s">
        <v>334</v>
      </c>
      <c r="M6" s="276">
        <f>SUM(M7:M37)</f>
        <v>0</v>
      </c>
      <c r="N6" s="277"/>
      <c r="O6" s="278"/>
      <c r="P6" s="276">
        <f>SUM(P7:P37)</f>
        <v>0</v>
      </c>
      <c r="Q6" s="277"/>
      <c r="R6" s="276">
        <f>SUM(R7:R37)</f>
        <v>0</v>
      </c>
      <c r="S6" s="118">
        <f>SUM(S7:S37)</f>
        <v>0</v>
      </c>
    </row>
    <row r="7" spans="1:258" ht="15.75" customHeight="1">
      <c r="A7" s="49"/>
      <c r="B7" s="94" t="str">
        <f>IF(ISBLANK(A7),"",VLOOKUP(A7,Management!$A$6:$C$20,2,0))</f>
        <v/>
      </c>
      <c r="C7" s="79"/>
      <c r="D7" s="101"/>
      <c r="E7" s="79"/>
      <c r="F7" s="333"/>
      <c r="G7" s="181" t="str">
        <f>IF(ISBLANK($D7),"","days")</f>
        <v/>
      </c>
      <c r="H7" s="172"/>
      <c r="I7" s="333"/>
      <c r="J7" s="181" t="str">
        <f>IF(ISBLANK($D7),"","days")</f>
        <v/>
      </c>
      <c r="K7" s="124"/>
      <c r="L7" s="127"/>
      <c r="M7" s="279" t="str">
        <f>IF(ISBLANK(L7),"",SUM(E7,H7)*VLOOKUP(L7,Ceilings!$X$4:$Y$5,2,0))</f>
        <v/>
      </c>
      <c r="N7" s="280" t="str">
        <f>IF(OR(ISBLANK($D7),ISBLANK($K7)),"",IF(LEFT($D7,18)="Long-term teaching",VLOOKUP($K7,Subsistence,2,0)*14+VLOOKUP($K7,Subsistence,3,0)*46+IF($F7&gt;60,VLOOKUP($K7,Subsistence,4,0)*($F7-60),0),IF(LEFT($D7,18)="Short-term joint s",IF($F7&lt;15,Ceilings!$S$3*$F7,Ceilings!$S$3*14+Ceilings!$S$4*($F7-14)),IF($F7&lt;15,Ceilings!$S$6*$F7,Ceilings!$S$6*14+Ceilings!$S$7*($F7-14)))))</f>
        <v/>
      </c>
      <c r="O7" s="281" t="str">
        <f>IF(OR(ISBLANK(D7),ISBLANK(H7),ISBLANK(K7)),"",IF(I7&lt;15,Ceilings!$S$3*I7,Ceilings!$S$3*14+Ceilings!$S$4*(I7-14)))</f>
        <v/>
      </c>
      <c r="P7" s="279" t="str">
        <f>IF(N7="","",$E7*N7+IF(O7="",0,$H7*O7))</f>
        <v/>
      </c>
      <c r="Q7" s="172"/>
      <c r="R7" s="279" t="str">
        <f>IF(OR(ISBLANK($D7),ISBLANK($K7),ISBLANK(Q7)),"",Ceilings!$V$3*Q7)</f>
        <v/>
      </c>
      <c r="S7" s="270" t="str">
        <f>IF(ISBLANK($A7),"",IF(OR(ISBLANK($C7),ISBLANK($D7),ISBLANK($E7),ISBLANK($K7)),"Missing data",IF($B7=$K7,"Same country",SUM($M7,$P7,$R7))))</f>
        <v/>
      </c>
    </row>
    <row r="8" spans="1:258" ht="15.75" customHeight="1">
      <c r="A8" s="52"/>
      <c r="B8" s="95" t="str">
        <f>IF(ISBLANK(A8),"",VLOOKUP(A8,Management!$A$6:$C$20,2,0))</f>
        <v/>
      </c>
      <c r="C8" s="81"/>
      <c r="D8" s="102"/>
      <c r="E8" s="81"/>
      <c r="F8" s="334"/>
      <c r="G8" s="182" t="str">
        <f t="shared" ref="G8:G37" si="0">IF(ISBLANK($D8),"","days")</f>
        <v/>
      </c>
      <c r="H8" s="173"/>
      <c r="I8" s="334"/>
      <c r="J8" s="182" t="str">
        <f t="shared" ref="J8:J37" si="1">IF(ISBLANK($D8),"","days")</f>
        <v/>
      </c>
      <c r="K8" s="125"/>
      <c r="L8" s="128"/>
      <c r="M8" s="282" t="str">
        <f>IF(ISBLANK(L8),"",SUM(E8,H8)*VLOOKUP(L8,Ceilings!$X$4:$Y$5,2,0))</f>
        <v/>
      </c>
      <c r="N8" s="283" t="str">
        <f>IF(OR(ISBLANK($D8),ISBLANK($K8)),"",IF(LEFT($D8,18)="Long-term teaching",VLOOKUP($K8,Subsistence,2,0)*14+VLOOKUP($K8,Subsistence,3,0)*46+IF($F8&gt;60,VLOOKUP($K8,Subsistence,4,0)*($F8-60),0),IF(LEFT($D8,18)="Short-term joint s",IF($F8&lt;15,Ceilings!$S$3*$F8,Ceilings!$S$3*14+Ceilings!$S$4*($F8-14)),IF($F8&lt;15,Ceilings!$S$6*$F8,Ceilings!$S$6*14+Ceilings!$S$7*($F8-14)))))</f>
        <v/>
      </c>
      <c r="O8" s="284" t="str">
        <f>IF(OR(ISBLANK(D8),ISBLANK(H8),ISBLANK(K8)),"",IF(I8&lt;15,Ceilings!$S$3*I8,Ceilings!$S$3*14+Ceilings!$S$4*(I8-14)))</f>
        <v/>
      </c>
      <c r="P8" s="282" t="str">
        <f t="shared" ref="P8:P37" si="2">IF(N8="","",$E8*N8+IF(O8="",0,$H8*O8))</f>
        <v/>
      </c>
      <c r="Q8" s="173"/>
      <c r="R8" s="282" t="str">
        <f>IF(OR(ISBLANK($D8),ISBLANK($K8),ISBLANK(Q8)),"",Ceilings!$V$3*Q8)</f>
        <v/>
      </c>
      <c r="S8" s="116" t="str">
        <f t="shared" ref="S8:S37" si="3">IF(ISBLANK($A8),"",IF(OR(ISBLANK($C8),ISBLANK($D8),ISBLANK($E8),ISBLANK($K8)),"Missing data",IF($B8=$K8,"Same country",SUM($M8,$P8,$R8))))</f>
        <v/>
      </c>
    </row>
    <row r="9" spans="1:258" ht="15.75" customHeight="1">
      <c r="A9" s="52"/>
      <c r="B9" s="95" t="str">
        <f>IF(ISBLANK(A9),"",VLOOKUP(A9,Management!$A$6:$C$20,2,0))</f>
        <v/>
      </c>
      <c r="C9" s="81"/>
      <c r="D9" s="102"/>
      <c r="E9" s="81"/>
      <c r="F9" s="334"/>
      <c r="G9" s="182" t="str">
        <f t="shared" si="0"/>
        <v/>
      </c>
      <c r="H9" s="173"/>
      <c r="I9" s="334"/>
      <c r="J9" s="182" t="str">
        <f t="shared" si="1"/>
        <v/>
      </c>
      <c r="K9" s="125"/>
      <c r="L9" s="128"/>
      <c r="M9" s="282" t="str">
        <f>IF(ISBLANK(L9),"",SUM(E9,H9)*VLOOKUP(L9,Ceilings!$X$4:$Y$5,2,0))</f>
        <v/>
      </c>
      <c r="N9" s="283" t="str">
        <f>IF(OR(ISBLANK($D9),ISBLANK($K9)),"",IF(LEFT($D9,18)="Long-term teaching",VLOOKUP($K9,Subsistence,2,0)*14+VLOOKUP($K9,Subsistence,3,0)*46+IF($F9&gt;60,VLOOKUP($K9,Subsistence,4,0)*($F9-60),0),IF(LEFT($D9,18)="Short-term joint s",IF($F9&lt;15,Ceilings!$S$3*$F9,Ceilings!$S$3*14+Ceilings!$S$4*($F9-14)),IF($F9&lt;15,Ceilings!$S$6*$F9,Ceilings!$S$6*14+Ceilings!$S$7*($F9-14)))))</f>
        <v/>
      </c>
      <c r="O9" s="284" t="str">
        <f>IF(OR(ISBLANK(D9),ISBLANK(H9),ISBLANK(K9)),"",IF(I9&lt;15,Ceilings!$S$3*I9,Ceilings!$S$3*14+Ceilings!$S$4*(I9-14)))</f>
        <v/>
      </c>
      <c r="P9" s="282" t="str">
        <f t="shared" si="2"/>
        <v/>
      </c>
      <c r="Q9" s="173"/>
      <c r="R9" s="282" t="str">
        <f>IF(OR(ISBLANK($D9),ISBLANK($K9),ISBLANK(Q9)),"",Ceilings!$V$3*Q9)</f>
        <v/>
      </c>
      <c r="S9" s="116" t="str">
        <f t="shared" si="3"/>
        <v/>
      </c>
    </row>
    <row r="10" spans="1:258" ht="15.75" customHeight="1">
      <c r="A10" s="52"/>
      <c r="B10" s="95" t="str">
        <f>IF(ISBLANK(A10),"",VLOOKUP(A10,Management!$A$6:$C$20,2,0))</f>
        <v/>
      </c>
      <c r="C10" s="81"/>
      <c r="D10" s="102"/>
      <c r="E10" s="81"/>
      <c r="F10" s="334"/>
      <c r="G10" s="182" t="str">
        <f t="shared" si="0"/>
        <v/>
      </c>
      <c r="H10" s="173"/>
      <c r="I10" s="334"/>
      <c r="J10" s="182" t="str">
        <f t="shared" si="1"/>
        <v/>
      </c>
      <c r="K10" s="125"/>
      <c r="L10" s="128"/>
      <c r="M10" s="282" t="str">
        <f>IF(ISBLANK(L10),"",SUM(E10,H10)*VLOOKUP(L10,Ceilings!$X$4:$Y$5,2,0))</f>
        <v/>
      </c>
      <c r="N10" s="283" t="str">
        <f>IF(OR(ISBLANK($D10),ISBLANK($K10)),"",IF(LEFT($D10,18)="Long-term teaching",VLOOKUP($K10,Subsistence,2,0)*14+VLOOKUP($K10,Subsistence,3,0)*46+IF($F10&gt;60,VLOOKUP($K10,Subsistence,4,0)*($F10-60),0),IF(LEFT($D10,18)="Short-term joint s",IF($F10&lt;15,Ceilings!$S$3*$F10,Ceilings!$S$3*14+Ceilings!$S$4*($F10-14)),IF($F10&lt;15,Ceilings!$S$6*$F10,Ceilings!$S$6*14+Ceilings!$S$7*($F10-14)))))</f>
        <v/>
      </c>
      <c r="O10" s="284" t="str">
        <f>IF(OR(ISBLANK(D10),ISBLANK(H10),ISBLANK(K10)),"",IF(I10&lt;15,Ceilings!$S$3*I10,Ceilings!$S$3*14+Ceilings!$S$4*(I10-14)))</f>
        <v/>
      </c>
      <c r="P10" s="282" t="str">
        <f t="shared" si="2"/>
        <v/>
      </c>
      <c r="Q10" s="173"/>
      <c r="R10" s="282" t="str">
        <f>IF(OR(ISBLANK($D10),ISBLANK($K10),ISBLANK(Q10)),"",Ceilings!$V$3*Q10)</f>
        <v/>
      </c>
      <c r="S10" s="116" t="str">
        <f t="shared" si="3"/>
        <v/>
      </c>
    </row>
    <row r="11" spans="1:258" ht="15.75" customHeight="1">
      <c r="A11" s="52"/>
      <c r="B11" s="95" t="str">
        <f>IF(ISBLANK(A11),"",VLOOKUP(A11,Management!$A$6:$C$20,2,0))</f>
        <v/>
      </c>
      <c r="C11" s="81"/>
      <c r="D11" s="102"/>
      <c r="E11" s="81"/>
      <c r="F11" s="334"/>
      <c r="G11" s="182" t="str">
        <f t="shared" si="0"/>
        <v/>
      </c>
      <c r="H11" s="173"/>
      <c r="I11" s="334"/>
      <c r="J11" s="182" t="str">
        <f t="shared" si="1"/>
        <v/>
      </c>
      <c r="K11" s="125"/>
      <c r="L11" s="128"/>
      <c r="M11" s="282" t="str">
        <f>IF(ISBLANK(L11),"",SUM(E11,H11)*VLOOKUP(L11,Ceilings!$X$4:$Y$5,2,0))</f>
        <v/>
      </c>
      <c r="N11" s="283" t="str">
        <f>IF(OR(ISBLANK($D11),ISBLANK($K11)),"",IF(LEFT($D11,18)="Long-term teaching",VLOOKUP($K11,Subsistence,2,0)*14+VLOOKUP($K11,Subsistence,3,0)*46+IF($F11&gt;60,VLOOKUP($K11,Subsistence,4,0)*($F11-60),0),IF(LEFT($D11,18)="Short-term joint s",IF($F11&lt;15,Ceilings!$S$3*$F11,Ceilings!$S$3*14+Ceilings!$S$4*($F11-14)),IF($F11&lt;15,Ceilings!$S$6*$F11,Ceilings!$S$6*14+Ceilings!$S$7*($F11-14)))))</f>
        <v/>
      </c>
      <c r="O11" s="284" t="str">
        <f>IF(OR(ISBLANK(D11),ISBLANK(H11),ISBLANK(K11)),"",IF(I11&lt;15,Ceilings!$S$3*I11,Ceilings!$S$3*14+Ceilings!$S$4*(I11-14)))</f>
        <v/>
      </c>
      <c r="P11" s="282" t="str">
        <f t="shared" si="2"/>
        <v/>
      </c>
      <c r="Q11" s="173"/>
      <c r="R11" s="282" t="str">
        <f>IF(OR(ISBLANK($D11),ISBLANK($K11),ISBLANK(Q11)),"",Ceilings!$V$3*Q11)</f>
        <v/>
      </c>
      <c r="S11" s="116" t="str">
        <f t="shared" si="3"/>
        <v/>
      </c>
    </row>
    <row r="12" spans="1:258" ht="15.75" customHeight="1">
      <c r="A12" s="52"/>
      <c r="B12" s="95" t="str">
        <f>IF(ISBLANK(A12),"",VLOOKUP(A12,Management!$A$6:$C$20,2,0))</f>
        <v/>
      </c>
      <c r="C12" s="81"/>
      <c r="D12" s="102"/>
      <c r="E12" s="81"/>
      <c r="F12" s="334"/>
      <c r="G12" s="182" t="str">
        <f t="shared" si="0"/>
        <v/>
      </c>
      <c r="H12" s="173"/>
      <c r="I12" s="334"/>
      <c r="J12" s="182" t="str">
        <f t="shared" si="1"/>
        <v/>
      </c>
      <c r="K12" s="125"/>
      <c r="L12" s="128"/>
      <c r="M12" s="282" t="str">
        <f>IF(ISBLANK(L12),"",SUM(E12,H12)*VLOOKUP(L12,Ceilings!$X$4:$Y$5,2,0))</f>
        <v/>
      </c>
      <c r="N12" s="283" t="str">
        <f>IF(OR(ISBLANK($D12),ISBLANK($K12)),"",IF(LEFT($D12,18)="Long-term teaching",VLOOKUP($K12,Subsistence,2,0)*14+VLOOKUP($K12,Subsistence,3,0)*46+IF($F12&gt;60,VLOOKUP($K12,Subsistence,4,0)*($F12-60),0),IF(LEFT($D12,18)="Short-term joint s",IF($F12&lt;15,Ceilings!$S$3*$F12,Ceilings!$S$3*14+Ceilings!$S$4*($F12-14)),IF($F12&lt;15,Ceilings!$S$6*$F12,Ceilings!$S$6*14+Ceilings!$S$7*($F12-14)))))</f>
        <v/>
      </c>
      <c r="O12" s="284" t="str">
        <f>IF(OR(ISBLANK(D12),ISBLANK(H12),ISBLANK(K12)),"",IF(I12&lt;15,Ceilings!$S$3*I12,Ceilings!$S$3*14+Ceilings!$S$4*(I12-14)))</f>
        <v/>
      </c>
      <c r="P12" s="282" t="str">
        <f t="shared" si="2"/>
        <v/>
      </c>
      <c r="Q12" s="173"/>
      <c r="R12" s="282" t="str">
        <f>IF(OR(ISBLANK($D12),ISBLANK($K12),ISBLANK(Q12)),"",Ceilings!$V$3*Q12)</f>
        <v/>
      </c>
      <c r="S12" s="116" t="str">
        <f t="shared" si="3"/>
        <v/>
      </c>
    </row>
    <row r="13" spans="1:258" ht="15.75" customHeight="1">
      <c r="A13" s="52"/>
      <c r="B13" s="95" t="str">
        <f>IF(ISBLANK(A13),"",VLOOKUP(A13,Management!$A$6:$C$20,2,0))</f>
        <v/>
      </c>
      <c r="C13" s="81"/>
      <c r="D13" s="102"/>
      <c r="E13" s="81"/>
      <c r="F13" s="334"/>
      <c r="G13" s="182" t="str">
        <f t="shared" si="0"/>
        <v/>
      </c>
      <c r="H13" s="173"/>
      <c r="I13" s="334"/>
      <c r="J13" s="182" t="str">
        <f t="shared" si="1"/>
        <v/>
      </c>
      <c r="K13" s="125"/>
      <c r="L13" s="128"/>
      <c r="M13" s="282" t="str">
        <f>IF(ISBLANK(L13),"",SUM(E13,H13)*VLOOKUP(L13,Ceilings!$X$4:$Y$5,2,0))</f>
        <v/>
      </c>
      <c r="N13" s="283" t="str">
        <f>IF(OR(ISBLANK($D13),ISBLANK($K13)),"",IF(LEFT($D13,18)="Long-term teaching",VLOOKUP($K13,Subsistence,2,0)*14+VLOOKUP($K13,Subsistence,3,0)*46+IF($F13&gt;60,VLOOKUP($K13,Subsistence,4,0)*($F13-60),0),IF(LEFT($D13,18)="Short-term joint s",IF($F13&lt;15,Ceilings!$S$3*$F13,Ceilings!$S$3*14+Ceilings!$S$4*($F13-14)),IF($F13&lt;15,Ceilings!$S$6*$F13,Ceilings!$S$6*14+Ceilings!$S$7*($F13-14)))))</f>
        <v/>
      </c>
      <c r="O13" s="284" t="str">
        <f>IF(OR(ISBLANK(D13),ISBLANK(H13),ISBLANK(K13)),"",IF(I13&lt;15,Ceilings!$S$3*I13,Ceilings!$S$3*14+Ceilings!$S$4*(I13-14)))</f>
        <v/>
      </c>
      <c r="P13" s="282" t="str">
        <f t="shared" si="2"/>
        <v/>
      </c>
      <c r="Q13" s="173"/>
      <c r="R13" s="282" t="str">
        <f>IF(OR(ISBLANK($D13),ISBLANK($K13),ISBLANK(Q13)),"",Ceilings!$V$3*Q13)</f>
        <v/>
      </c>
      <c r="S13" s="116" t="str">
        <f t="shared" si="3"/>
        <v/>
      </c>
    </row>
    <row r="14" spans="1:258" ht="15.75" customHeight="1">
      <c r="A14" s="52"/>
      <c r="B14" s="95" t="str">
        <f>IF(ISBLANK(A14),"",VLOOKUP(A14,Management!$A$6:$C$20,2,0))</f>
        <v/>
      </c>
      <c r="C14" s="81"/>
      <c r="D14" s="102"/>
      <c r="E14" s="81"/>
      <c r="F14" s="334"/>
      <c r="G14" s="182" t="str">
        <f t="shared" si="0"/>
        <v/>
      </c>
      <c r="H14" s="173"/>
      <c r="I14" s="334"/>
      <c r="J14" s="182" t="str">
        <f t="shared" si="1"/>
        <v/>
      </c>
      <c r="K14" s="125"/>
      <c r="L14" s="128"/>
      <c r="M14" s="282" t="str">
        <f>IF(ISBLANK(L14),"",SUM(E14,H14)*VLOOKUP(L14,Ceilings!$X$4:$Y$5,2,0))</f>
        <v/>
      </c>
      <c r="N14" s="283" t="str">
        <f>IF(OR(ISBLANK($D14),ISBLANK($K14)),"",IF(LEFT($D14,18)="Long-term teaching",VLOOKUP($K14,Subsistence,2,0)*14+VLOOKUP($K14,Subsistence,3,0)*46+IF($F14&gt;60,VLOOKUP($K14,Subsistence,4,0)*($F14-60),0),IF(LEFT($D14,18)="Short-term joint s",IF($F14&lt;15,Ceilings!$S$3*$F14,Ceilings!$S$3*14+Ceilings!$S$4*($F14-14)),IF($F14&lt;15,Ceilings!$S$6*$F14,Ceilings!$S$6*14+Ceilings!$S$7*($F14-14)))))</f>
        <v/>
      </c>
      <c r="O14" s="284" t="str">
        <f>IF(OR(ISBLANK(D14),ISBLANK(H14),ISBLANK(K14)),"",IF(I14&lt;15,Ceilings!$S$3*I14,Ceilings!$S$3*14+Ceilings!$S$4*(I14-14)))</f>
        <v/>
      </c>
      <c r="P14" s="282" t="str">
        <f t="shared" si="2"/>
        <v/>
      </c>
      <c r="Q14" s="173"/>
      <c r="R14" s="282" t="str">
        <f>IF(OR(ISBLANK($D14),ISBLANK($K14),ISBLANK(Q14)),"",Ceilings!$V$3*Q14)</f>
        <v/>
      </c>
      <c r="S14" s="116" t="str">
        <f t="shared" si="3"/>
        <v/>
      </c>
    </row>
    <row r="15" spans="1:258" ht="15.75" customHeight="1">
      <c r="A15" s="52"/>
      <c r="B15" s="95" t="str">
        <f>IF(ISBLANK(A15),"",VLOOKUP(A15,Management!$A$6:$C$20,2,0))</f>
        <v/>
      </c>
      <c r="C15" s="81"/>
      <c r="D15" s="102"/>
      <c r="E15" s="81"/>
      <c r="F15" s="334"/>
      <c r="G15" s="182" t="str">
        <f t="shared" si="0"/>
        <v/>
      </c>
      <c r="H15" s="173"/>
      <c r="I15" s="334"/>
      <c r="J15" s="182" t="str">
        <f t="shared" si="1"/>
        <v/>
      </c>
      <c r="K15" s="125"/>
      <c r="L15" s="128"/>
      <c r="M15" s="282" t="str">
        <f>IF(ISBLANK(L15),"",SUM(E15,H15)*VLOOKUP(L15,Ceilings!$X$4:$Y$5,2,0))</f>
        <v/>
      </c>
      <c r="N15" s="283" t="str">
        <f>IF(OR(ISBLANK($D15),ISBLANK($K15)),"",IF(LEFT($D15,18)="Long-term teaching",VLOOKUP($K15,Subsistence,2,0)*14+VLOOKUP($K15,Subsistence,3,0)*46+IF($F15&gt;60,VLOOKUP($K15,Subsistence,4,0)*($F15-60),0),IF(LEFT($D15,18)="Short-term joint s",IF($F15&lt;15,Ceilings!$S$3*$F15,Ceilings!$S$3*14+Ceilings!$S$4*($F15-14)),IF($F15&lt;15,Ceilings!$S$6*$F15,Ceilings!$S$6*14+Ceilings!$S$7*($F15-14)))))</f>
        <v/>
      </c>
      <c r="O15" s="284" t="str">
        <f>IF(OR(ISBLANK(D15),ISBLANK(H15),ISBLANK(K15)),"",IF(I15&lt;15,Ceilings!$S$3*I15,Ceilings!$S$3*14+Ceilings!$S$4*(I15-14)))</f>
        <v/>
      </c>
      <c r="P15" s="282" t="str">
        <f t="shared" si="2"/>
        <v/>
      </c>
      <c r="Q15" s="173"/>
      <c r="R15" s="282" t="str">
        <f>IF(OR(ISBLANK($D15),ISBLANK($K15),ISBLANK(Q15)),"",Ceilings!$V$3*Q15)</f>
        <v/>
      </c>
      <c r="S15" s="116" t="str">
        <f t="shared" si="3"/>
        <v/>
      </c>
    </row>
    <row r="16" spans="1:258" ht="15.75" customHeight="1">
      <c r="A16" s="52"/>
      <c r="B16" s="95" t="str">
        <f>IF(ISBLANK(A16),"",VLOOKUP(A16,Management!$A$6:$C$20,2,0))</f>
        <v/>
      </c>
      <c r="C16" s="81"/>
      <c r="D16" s="102"/>
      <c r="E16" s="81"/>
      <c r="F16" s="334"/>
      <c r="G16" s="182" t="str">
        <f t="shared" si="0"/>
        <v/>
      </c>
      <c r="H16" s="173"/>
      <c r="I16" s="334"/>
      <c r="J16" s="182" t="str">
        <f t="shared" si="1"/>
        <v/>
      </c>
      <c r="K16" s="125"/>
      <c r="L16" s="128"/>
      <c r="M16" s="282" t="str">
        <f>IF(ISBLANK(L16),"",SUM(E16,H16)*VLOOKUP(L16,Ceilings!$X$4:$Y$5,2,0))</f>
        <v/>
      </c>
      <c r="N16" s="283" t="str">
        <f>IF(OR(ISBLANK($D16),ISBLANK($K16)),"",IF(LEFT($D16,18)="Long-term teaching",VLOOKUP($K16,Subsistence,2,0)*14+VLOOKUP($K16,Subsistence,3,0)*46+IF($F16&gt;60,VLOOKUP($K16,Subsistence,4,0)*($F16-60),0),IF(LEFT($D16,18)="Short-term joint s",IF($F16&lt;15,Ceilings!$S$3*$F16,Ceilings!$S$3*14+Ceilings!$S$4*($F16-14)),IF($F16&lt;15,Ceilings!$S$6*$F16,Ceilings!$S$6*14+Ceilings!$S$7*($F16-14)))))</f>
        <v/>
      </c>
      <c r="O16" s="284" t="str">
        <f>IF(OR(ISBLANK(D16),ISBLANK(H16),ISBLANK(K16)),"",IF(I16&lt;15,Ceilings!$S$3*I16,Ceilings!$S$3*14+Ceilings!$S$4*(I16-14)))</f>
        <v/>
      </c>
      <c r="P16" s="282" t="str">
        <f t="shared" si="2"/>
        <v/>
      </c>
      <c r="Q16" s="173"/>
      <c r="R16" s="282" t="str">
        <f>IF(OR(ISBLANK($D16),ISBLANK($K16),ISBLANK(Q16)),"",Ceilings!$V$3*Q16)</f>
        <v/>
      </c>
      <c r="S16" s="116" t="str">
        <f t="shared" si="3"/>
        <v/>
      </c>
    </row>
    <row r="17" spans="1:19" ht="15.75" customHeight="1">
      <c r="A17" s="52"/>
      <c r="B17" s="95" t="str">
        <f>IF(ISBLANK(A17),"",VLOOKUP(A17,Management!$A$6:$C$20,2,0))</f>
        <v/>
      </c>
      <c r="C17" s="81"/>
      <c r="D17" s="102"/>
      <c r="E17" s="81"/>
      <c r="F17" s="334"/>
      <c r="G17" s="182" t="str">
        <f t="shared" si="0"/>
        <v/>
      </c>
      <c r="H17" s="173"/>
      <c r="I17" s="334"/>
      <c r="J17" s="182" t="str">
        <f t="shared" si="1"/>
        <v/>
      </c>
      <c r="K17" s="125"/>
      <c r="L17" s="128"/>
      <c r="M17" s="282" t="str">
        <f>IF(ISBLANK(L17),"",SUM(E17,H17)*VLOOKUP(L17,Ceilings!$X$4:$Y$5,2,0))</f>
        <v/>
      </c>
      <c r="N17" s="283" t="str">
        <f>IF(OR(ISBLANK($D17),ISBLANK($K17)),"",IF(LEFT($D17,18)="Long-term teaching",VLOOKUP($K17,Subsistence,2,0)*14+VLOOKUP($K17,Subsistence,3,0)*46+IF($F17&gt;60,VLOOKUP($K17,Subsistence,4,0)*($F17-60),0),IF(LEFT($D17,18)="Short-term joint s",IF($F17&lt;15,Ceilings!$S$3*$F17,Ceilings!$S$3*14+Ceilings!$S$4*($F17-14)),IF($F17&lt;15,Ceilings!$S$6*$F17,Ceilings!$S$6*14+Ceilings!$S$7*($F17-14)))))</f>
        <v/>
      </c>
      <c r="O17" s="284" t="str">
        <f>IF(OR(ISBLANK(D17),ISBLANK(H17),ISBLANK(K17)),"",IF(I17&lt;15,Ceilings!$S$3*I17,Ceilings!$S$3*14+Ceilings!$S$4*(I17-14)))</f>
        <v/>
      </c>
      <c r="P17" s="282" t="str">
        <f t="shared" si="2"/>
        <v/>
      </c>
      <c r="Q17" s="173"/>
      <c r="R17" s="282" t="str">
        <f>IF(OR(ISBLANK($D17),ISBLANK($K17),ISBLANK(Q17)),"",Ceilings!$V$3*Q17)</f>
        <v/>
      </c>
      <c r="S17" s="116" t="str">
        <f t="shared" si="3"/>
        <v/>
      </c>
    </row>
    <row r="18" spans="1:19" ht="15.75" customHeight="1">
      <c r="A18" s="52"/>
      <c r="B18" s="95" t="str">
        <f>IF(ISBLANK(A18),"",VLOOKUP(A18,Management!$A$6:$C$20,2,0))</f>
        <v/>
      </c>
      <c r="C18" s="81"/>
      <c r="D18" s="102"/>
      <c r="E18" s="81"/>
      <c r="F18" s="334"/>
      <c r="G18" s="182" t="str">
        <f t="shared" si="0"/>
        <v/>
      </c>
      <c r="H18" s="173"/>
      <c r="I18" s="334"/>
      <c r="J18" s="182" t="str">
        <f t="shared" si="1"/>
        <v/>
      </c>
      <c r="K18" s="125"/>
      <c r="L18" s="128"/>
      <c r="M18" s="282" t="str">
        <f>IF(ISBLANK(L18),"",SUM(E18,H18)*VLOOKUP(L18,Ceilings!$X$4:$Y$5,2,0))</f>
        <v/>
      </c>
      <c r="N18" s="283" t="str">
        <f>IF(OR(ISBLANK($D18),ISBLANK($K18)),"",IF(LEFT($D18,18)="Long-term teaching",VLOOKUP($K18,Subsistence,2,0)*14+VLOOKUP($K18,Subsistence,3,0)*46+IF($F18&gt;60,VLOOKUP($K18,Subsistence,4,0)*($F18-60),0),IF(LEFT($D18,18)="Short-term joint s",IF($F18&lt;15,Ceilings!$S$3*$F18,Ceilings!$S$3*14+Ceilings!$S$4*($F18-14)),IF($F18&lt;15,Ceilings!$S$6*$F18,Ceilings!$S$6*14+Ceilings!$S$7*($F18-14)))))</f>
        <v/>
      </c>
      <c r="O18" s="284" t="str">
        <f>IF(OR(ISBLANK(D18),ISBLANK(H18),ISBLANK(K18)),"",IF(I18&lt;15,Ceilings!$S$3*I18,Ceilings!$S$3*14+Ceilings!$S$4*(I18-14)))</f>
        <v/>
      </c>
      <c r="P18" s="282" t="str">
        <f t="shared" si="2"/>
        <v/>
      </c>
      <c r="Q18" s="173"/>
      <c r="R18" s="282" t="str">
        <f>IF(OR(ISBLANK($D18),ISBLANK($K18),ISBLANK(Q18)),"",Ceilings!$V$3*Q18)</f>
        <v/>
      </c>
      <c r="S18" s="116" t="str">
        <f t="shared" si="3"/>
        <v/>
      </c>
    </row>
    <row r="19" spans="1:19" ht="15.75" customHeight="1">
      <c r="A19" s="52"/>
      <c r="B19" s="95" t="str">
        <f>IF(ISBLANK(A19),"",VLOOKUP(A19,Management!$A$6:$C$20,2,0))</f>
        <v/>
      </c>
      <c r="C19" s="81"/>
      <c r="D19" s="102"/>
      <c r="E19" s="81"/>
      <c r="F19" s="334"/>
      <c r="G19" s="182" t="str">
        <f t="shared" si="0"/>
        <v/>
      </c>
      <c r="H19" s="173"/>
      <c r="I19" s="334"/>
      <c r="J19" s="182" t="str">
        <f t="shared" si="1"/>
        <v/>
      </c>
      <c r="K19" s="125"/>
      <c r="L19" s="128"/>
      <c r="M19" s="282" t="str">
        <f>IF(ISBLANK(L19),"",SUM(E19,H19)*VLOOKUP(L19,Ceilings!$X$4:$Y$5,2,0))</f>
        <v/>
      </c>
      <c r="N19" s="283" t="str">
        <f>IF(OR(ISBLANK($D19),ISBLANK($K19)),"",IF(LEFT($D19,18)="Long-term teaching",VLOOKUP($K19,Subsistence,2,0)*14+VLOOKUP($K19,Subsistence,3,0)*46+IF($F19&gt;60,VLOOKUP($K19,Subsistence,4,0)*($F19-60),0),IF(LEFT($D19,18)="Short-term joint s",IF($F19&lt;15,Ceilings!$S$3*$F19,Ceilings!$S$3*14+Ceilings!$S$4*($F19-14)),IF($F19&lt;15,Ceilings!$S$6*$F19,Ceilings!$S$6*14+Ceilings!$S$7*($F19-14)))))</f>
        <v/>
      </c>
      <c r="O19" s="284" t="str">
        <f>IF(OR(ISBLANK(D19),ISBLANK(H19),ISBLANK(K19)),"",IF(I19&lt;15,Ceilings!$S$3*I19,Ceilings!$S$3*14+Ceilings!$S$4*(I19-14)))</f>
        <v/>
      </c>
      <c r="P19" s="282" t="str">
        <f t="shared" si="2"/>
        <v/>
      </c>
      <c r="Q19" s="173"/>
      <c r="R19" s="282" t="str">
        <f>IF(OR(ISBLANK($D19),ISBLANK($K19),ISBLANK(Q19)),"",Ceilings!$V$3*Q19)</f>
        <v/>
      </c>
      <c r="S19" s="116" t="str">
        <f t="shared" si="3"/>
        <v/>
      </c>
    </row>
    <row r="20" spans="1:19" ht="15.75" customHeight="1">
      <c r="A20" s="52"/>
      <c r="B20" s="95" t="str">
        <f>IF(ISBLANK(A20),"",VLOOKUP(A20,Management!$A$6:$C$20,2,0))</f>
        <v/>
      </c>
      <c r="C20" s="81"/>
      <c r="D20" s="102"/>
      <c r="E20" s="81"/>
      <c r="F20" s="334"/>
      <c r="G20" s="182" t="str">
        <f t="shared" si="0"/>
        <v/>
      </c>
      <c r="H20" s="173"/>
      <c r="I20" s="334"/>
      <c r="J20" s="182" t="str">
        <f t="shared" si="1"/>
        <v/>
      </c>
      <c r="K20" s="125"/>
      <c r="L20" s="128"/>
      <c r="M20" s="282" t="str">
        <f>IF(ISBLANK(L20),"",SUM(E20,H20)*VLOOKUP(L20,Ceilings!$X$4:$Y$5,2,0))</f>
        <v/>
      </c>
      <c r="N20" s="283" t="str">
        <f>IF(OR(ISBLANK($D20),ISBLANK($K20)),"",IF(LEFT($D20,18)="Long-term teaching",VLOOKUP($K20,Subsistence,2,0)*14+VLOOKUP($K20,Subsistence,3,0)*46+IF($F20&gt;60,VLOOKUP($K20,Subsistence,4,0)*($F20-60),0),IF(LEFT($D20,18)="Short-term joint s",IF($F20&lt;15,Ceilings!$S$3*$F20,Ceilings!$S$3*14+Ceilings!$S$4*($F20-14)),IF($F20&lt;15,Ceilings!$S$6*$F20,Ceilings!$S$6*14+Ceilings!$S$7*($F20-14)))))</f>
        <v/>
      </c>
      <c r="O20" s="284" t="str">
        <f>IF(OR(ISBLANK(D20),ISBLANK(H20),ISBLANK(K20)),"",IF(I20&lt;15,Ceilings!$S$3*I20,Ceilings!$S$3*14+Ceilings!$S$4*(I20-14)))</f>
        <v/>
      </c>
      <c r="P20" s="282" t="str">
        <f t="shared" si="2"/>
        <v/>
      </c>
      <c r="Q20" s="173"/>
      <c r="R20" s="282" t="str">
        <f>IF(OR(ISBLANK($D20),ISBLANK($K20),ISBLANK(Q20)),"",Ceilings!$V$3*Q20)</f>
        <v/>
      </c>
      <c r="S20" s="116" t="str">
        <f t="shared" si="3"/>
        <v/>
      </c>
    </row>
    <row r="21" spans="1:19" ht="15.75" customHeight="1">
      <c r="A21" s="52"/>
      <c r="B21" s="95" t="str">
        <f>IF(ISBLANK(A21),"",VLOOKUP(A21,Management!$A$6:$C$20,2,0))</f>
        <v/>
      </c>
      <c r="C21" s="81"/>
      <c r="D21" s="102"/>
      <c r="E21" s="81"/>
      <c r="F21" s="334"/>
      <c r="G21" s="182" t="str">
        <f t="shared" si="0"/>
        <v/>
      </c>
      <c r="H21" s="173"/>
      <c r="I21" s="334"/>
      <c r="J21" s="182" t="str">
        <f t="shared" si="1"/>
        <v/>
      </c>
      <c r="K21" s="125"/>
      <c r="L21" s="128"/>
      <c r="M21" s="282" t="str">
        <f>IF(ISBLANK(L21),"",SUM(E21,H21)*VLOOKUP(L21,Ceilings!$X$4:$Y$5,2,0))</f>
        <v/>
      </c>
      <c r="N21" s="283" t="str">
        <f>IF(OR(ISBLANK($D21),ISBLANK($K21)),"",IF(LEFT($D21,18)="Long-term teaching",VLOOKUP($K21,Subsistence,2,0)*14+VLOOKUP($K21,Subsistence,3,0)*46+IF($F21&gt;60,VLOOKUP($K21,Subsistence,4,0)*($F21-60),0),IF(LEFT($D21,18)="Short-term joint s",IF($F21&lt;15,Ceilings!$S$3*$F21,Ceilings!$S$3*14+Ceilings!$S$4*($F21-14)),IF($F21&lt;15,Ceilings!$S$6*$F21,Ceilings!$S$6*14+Ceilings!$S$7*($F21-14)))))</f>
        <v/>
      </c>
      <c r="O21" s="284" t="str">
        <f>IF(OR(ISBLANK(D21),ISBLANK(H21),ISBLANK(K21)),"",IF(I21&lt;15,Ceilings!$S$3*I21,Ceilings!$S$3*14+Ceilings!$S$4*(I21-14)))</f>
        <v/>
      </c>
      <c r="P21" s="282" t="str">
        <f t="shared" si="2"/>
        <v/>
      </c>
      <c r="Q21" s="173"/>
      <c r="R21" s="282" t="str">
        <f>IF(OR(ISBLANK($D21),ISBLANK($K21),ISBLANK(Q21)),"",Ceilings!$V$3*Q21)</f>
        <v/>
      </c>
      <c r="S21" s="116" t="str">
        <f t="shared" si="3"/>
        <v/>
      </c>
    </row>
    <row r="22" spans="1:19" ht="15.75" customHeight="1">
      <c r="A22" s="52"/>
      <c r="B22" s="95" t="str">
        <f>IF(ISBLANK(A22),"",VLOOKUP(A22,Management!$A$6:$C$20,2,0))</f>
        <v/>
      </c>
      <c r="C22" s="81"/>
      <c r="D22" s="102"/>
      <c r="E22" s="81"/>
      <c r="F22" s="334"/>
      <c r="G22" s="182" t="str">
        <f t="shared" si="0"/>
        <v/>
      </c>
      <c r="H22" s="173"/>
      <c r="I22" s="334"/>
      <c r="J22" s="182" t="str">
        <f t="shared" si="1"/>
        <v/>
      </c>
      <c r="K22" s="125"/>
      <c r="L22" s="128"/>
      <c r="M22" s="282" t="str">
        <f>IF(ISBLANK(L22),"",SUM(E22,H22)*VLOOKUP(L22,Ceilings!$X$4:$Y$5,2,0))</f>
        <v/>
      </c>
      <c r="N22" s="283" t="str">
        <f>IF(OR(ISBLANK($D22),ISBLANK($K22)),"",IF(LEFT($D22,18)="Long-term teaching",VLOOKUP($K22,Subsistence,2,0)*14+VLOOKUP($K22,Subsistence,3,0)*46+IF($F22&gt;60,VLOOKUP($K22,Subsistence,4,0)*($F22-60),0),IF(LEFT($D22,18)="Short-term joint s",IF($F22&lt;15,Ceilings!$S$3*$F22,Ceilings!$S$3*14+Ceilings!$S$4*($F22-14)),IF($F22&lt;15,Ceilings!$S$6*$F22,Ceilings!$S$6*14+Ceilings!$S$7*($F22-14)))))</f>
        <v/>
      </c>
      <c r="O22" s="284" t="str">
        <f>IF(OR(ISBLANK(D22),ISBLANK(H22),ISBLANK(K22)),"",IF(I22&lt;15,Ceilings!$S$3*I22,Ceilings!$S$3*14+Ceilings!$S$4*(I22-14)))</f>
        <v/>
      </c>
      <c r="P22" s="282" t="str">
        <f t="shared" si="2"/>
        <v/>
      </c>
      <c r="Q22" s="173"/>
      <c r="R22" s="282" t="str">
        <f>IF(OR(ISBLANK($D22),ISBLANK($K22),ISBLANK(Q22)),"",Ceilings!$V$3*Q22)</f>
        <v/>
      </c>
      <c r="S22" s="116" t="str">
        <f t="shared" si="3"/>
        <v/>
      </c>
    </row>
    <row r="23" spans="1:19" ht="15.75" customHeight="1">
      <c r="A23" s="52"/>
      <c r="B23" s="95" t="str">
        <f>IF(ISBLANK(A23),"",VLOOKUP(A23,Management!$A$6:$C$20,2,0))</f>
        <v/>
      </c>
      <c r="C23" s="81"/>
      <c r="D23" s="102"/>
      <c r="E23" s="81"/>
      <c r="F23" s="334"/>
      <c r="G23" s="182" t="str">
        <f t="shared" si="0"/>
        <v/>
      </c>
      <c r="H23" s="173"/>
      <c r="I23" s="334"/>
      <c r="J23" s="182" t="str">
        <f t="shared" si="1"/>
        <v/>
      </c>
      <c r="K23" s="125"/>
      <c r="L23" s="128"/>
      <c r="M23" s="282" t="str">
        <f>IF(ISBLANK(L23),"",SUM(E23,H23)*VLOOKUP(L23,Ceilings!$X$4:$Y$5,2,0))</f>
        <v/>
      </c>
      <c r="N23" s="283" t="str">
        <f>IF(OR(ISBLANK($D23),ISBLANK($K23)),"",IF(LEFT($D23,18)="Long-term teaching",VLOOKUP($K23,Subsistence,2,0)*14+VLOOKUP($K23,Subsistence,3,0)*46+IF($F23&gt;60,VLOOKUP($K23,Subsistence,4,0)*($F23-60),0),IF(LEFT($D23,18)="Short-term joint s",IF($F23&lt;15,Ceilings!$S$3*$F23,Ceilings!$S$3*14+Ceilings!$S$4*($F23-14)),IF($F23&lt;15,Ceilings!$S$6*$F23,Ceilings!$S$6*14+Ceilings!$S$7*($F23-14)))))</f>
        <v/>
      </c>
      <c r="O23" s="284" t="str">
        <f>IF(OR(ISBLANK(D23),ISBLANK(H23),ISBLANK(K23)),"",IF(I23&lt;15,Ceilings!$S$3*I23,Ceilings!$S$3*14+Ceilings!$S$4*(I23-14)))</f>
        <v/>
      </c>
      <c r="P23" s="282" t="str">
        <f t="shared" si="2"/>
        <v/>
      </c>
      <c r="Q23" s="173"/>
      <c r="R23" s="282" t="str">
        <f>IF(OR(ISBLANK($D23),ISBLANK($K23),ISBLANK(Q23)),"",Ceilings!$V$3*Q23)</f>
        <v/>
      </c>
      <c r="S23" s="116" t="str">
        <f t="shared" si="3"/>
        <v/>
      </c>
    </row>
    <row r="24" spans="1:19" ht="15.75" customHeight="1">
      <c r="A24" s="52"/>
      <c r="B24" s="95" t="str">
        <f>IF(ISBLANK(A24),"",VLOOKUP(A24,Management!$A$6:$C$20,2,0))</f>
        <v/>
      </c>
      <c r="C24" s="81"/>
      <c r="D24" s="102"/>
      <c r="E24" s="81"/>
      <c r="F24" s="334"/>
      <c r="G24" s="182" t="str">
        <f t="shared" si="0"/>
        <v/>
      </c>
      <c r="H24" s="173"/>
      <c r="I24" s="334"/>
      <c r="J24" s="182" t="str">
        <f t="shared" si="1"/>
        <v/>
      </c>
      <c r="K24" s="125"/>
      <c r="L24" s="128"/>
      <c r="M24" s="282" t="str">
        <f>IF(ISBLANK(L24),"",SUM(E24,H24)*VLOOKUP(L24,Ceilings!$X$4:$Y$5,2,0))</f>
        <v/>
      </c>
      <c r="N24" s="283" t="str">
        <f>IF(OR(ISBLANK($D24),ISBLANK($K24)),"",IF(LEFT($D24,18)="Long-term teaching",VLOOKUP($K24,Subsistence,2,0)*14+VLOOKUP($K24,Subsistence,3,0)*46+IF($F24&gt;60,VLOOKUP($K24,Subsistence,4,0)*($F24-60),0),IF(LEFT($D24,18)="Short-term joint s",IF($F24&lt;15,Ceilings!$S$3*$F24,Ceilings!$S$3*14+Ceilings!$S$4*($F24-14)),IF($F24&lt;15,Ceilings!$S$6*$F24,Ceilings!$S$6*14+Ceilings!$S$7*($F24-14)))))</f>
        <v/>
      </c>
      <c r="O24" s="284" t="str">
        <f>IF(OR(ISBLANK(D24),ISBLANK(H24),ISBLANK(K24)),"",IF(I24&lt;15,Ceilings!$S$3*I24,Ceilings!$S$3*14+Ceilings!$S$4*(I24-14)))</f>
        <v/>
      </c>
      <c r="P24" s="282" t="str">
        <f t="shared" si="2"/>
        <v/>
      </c>
      <c r="Q24" s="173"/>
      <c r="R24" s="282" t="str">
        <f>IF(OR(ISBLANK($D24),ISBLANK($K24),ISBLANK(Q24)),"",Ceilings!$V$3*Q24)</f>
        <v/>
      </c>
      <c r="S24" s="116" t="str">
        <f t="shared" si="3"/>
        <v/>
      </c>
    </row>
    <row r="25" spans="1:19" ht="15.75" customHeight="1">
      <c r="A25" s="52"/>
      <c r="B25" s="95" t="str">
        <f>IF(ISBLANK(A25),"",VLOOKUP(A25,Management!$A$6:$C$20,2,0))</f>
        <v/>
      </c>
      <c r="C25" s="81"/>
      <c r="D25" s="102"/>
      <c r="E25" s="81"/>
      <c r="F25" s="334"/>
      <c r="G25" s="182" t="str">
        <f t="shared" si="0"/>
        <v/>
      </c>
      <c r="H25" s="173"/>
      <c r="I25" s="334"/>
      <c r="J25" s="182" t="str">
        <f t="shared" si="1"/>
        <v/>
      </c>
      <c r="K25" s="125"/>
      <c r="L25" s="128"/>
      <c r="M25" s="282" t="str">
        <f>IF(ISBLANK(L25),"",SUM(E25,H25)*VLOOKUP(L25,Ceilings!$X$4:$Y$5,2,0))</f>
        <v/>
      </c>
      <c r="N25" s="283" t="str">
        <f>IF(OR(ISBLANK($D25),ISBLANK($K25)),"",IF(LEFT($D25,18)="Long-term teaching",VLOOKUP($K25,Subsistence,2,0)*14+VLOOKUP($K25,Subsistence,3,0)*46+IF($F25&gt;60,VLOOKUP($K25,Subsistence,4,0)*($F25-60),0),IF(LEFT($D25,18)="Short-term joint s",IF($F25&lt;15,Ceilings!$S$3*$F25,Ceilings!$S$3*14+Ceilings!$S$4*($F25-14)),IF($F25&lt;15,Ceilings!$S$6*$F25,Ceilings!$S$6*14+Ceilings!$S$7*($F25-14)))))</f>
        <v/>
      </c>
      <c r="O25" s="284" t="str">
        <f>IF(OR(ISBLANK(D25),ISBLANK(H25),ISBLANK(K25)),"",IF(I25&lt;15,Ceilings!$S$3*I25,Ceilings!$S$3*14+Ceilings!$S$4*(I25-14)))</f>
        <v/>
      </c>
      <c r="P25" s="282" t="str">
        <f t="shared" si="2"/>
        <v/>
      </c>
      <c r="Q25" s="173"/>
      <c r="R25" s="282" t="str">
        <f>IF(OR(ISBLANK($D25),ISBLANK($K25),ISBLANK(Q25)),"",Ceilings!$V$3*Q25)</f>
        <v/>
      </c>
      <c r="S25" s="116" t="str">
        <f t="shared" si="3"/>
        <v/>
      </c>
    </row>
    <row r="26" spans="1:19" ht="15.75" customHeight="1">
      <c r="A26" s="52"/>
      <c r="B26" s="95" t="str">
        <f>IF(ISBLANK(A26),"",VLOOKUP(A26,Management!$A$6:$C$20,2,0))</f>
        <v/>
      </c>
      <c r="C26" s="81"/>
      <c r="D26" s="102"/>
      <c r="E26" s="81"/>
      <c r="F26" s="334"/>
      <c r="G26" s="182" t="str">
        <f t="shared" si="0"/>
        <v/>
      </c>
      <c r="H26" s="173"/>
      <c r="I26" s="334"/>
      <c r="J26" s="182" t="str">
        <f t="shared" si="1"/>
        <v/>
      </c>
      <c r="K26" s="125"/>
      <c r="L26" s="128"/>
      <c r="M26" s="282" t="str">
        <f>IF(ISBLANK(L26),"",SUM(E26,H26)*VLOOKUP(L26,Ceilings!$X$4:$Y$5,2,0))</f>
        <v/>
      </c>
      <c r="N26" s="283" t="str">
        <f>IF(OR(ISBLANK($D26),ISBLANK($K26)),"",IF(LEFT($D26,18)="Long-term teaching",VLOOKUP($K26,Subsistence,2,0)*14+VLOOKUP($K26,Subsistence,3,0)*46+IF($F26&gt;60,VLOOKUP($K26,Subsistence,4,0)*($F26-60),0),IF(LEFT($D26,18)="Short-term joint s",IF($F26&lt;15,Ceilings!$S$3*$F26,Ceilings!$S$3*14+Ceilings!$S$4*($F26-14)),IF($F26&lt;15,Ceilings!$S$6*$F26,Ceilings!$S$6*14+Ceilings!$S$7*($F26-14)))))</f>
        <v/>
      </c>
      <c r="O26" s="284" t="str">
        <f>IF(OR(ISBLANK(D26),ISBLANK(H26),ISBLANK(K26)),"",IF(I26&lt;15,Ceilings!$S$3*I26,Ceilings!$S$3*14+Ceilings!$S$4*(I26-14)))</f>
        <v/>
      </c>
      <c r="P26" s="282" t="str">
        <f t="shared" si="2"/>
        <v/>
      </c>
      <c r="Q26" s="173"/>
      <c r="R26" s="282" t="str">
        <f>IF(OR(ISBLANK($D26),ISBLANK($K26),ISBLANK(Q26)),"",Ceilings!$V$3*Q26)</f>
        <v/>
      </c>
      <c r="S26" s="116" t="str">
        <f t="shared" si="3"/>
        <v/>
      </c>
    </row>
    <row r="27" spans="1:19" ht="15.75" customHeight="1">
      <c r="A27" s="52"/>
      <c r="B27" s="95" t="str">
        <f>IF(ISBLANK(A27),"",VLOOKUP(A27,Management!$A$6:$C$20,2,0))</f>
        <v/>
      </c>
      <c r="C27" s="81"/>
      <c r="D27" s="102"/>
      <c r="E27" s="81"/>
      <c r="F27" s="334"/>
      <c r="G27" s="182" t="str">
        <f t="shared" si="0"/>
        <v/>
      </c>
      <c r="H27" s="173"/>
      <c r="I27" s="334"/>
      <c r="J27" s="182" t="str">
        <f t="shared" si="1"/>
        <v/>
      </c>
      <c r="K27" s="125"/>
      <c r="L27" s="128"/>
      <c r="M27" s="282" t="str">
        <f>IF(ISBLANK(L27),"",SUM(E27,H27)*VLOOKUP(L27,Ceilings!$X$4:$Y$5,2,0))</f>
        <v/>
      </c>
      <c r="N27" s="283" t="str">
        <f>IF(OR(ISBLANK($D27),ISBLANK($K27)),"",IF(LEFT($D27,18)="Long-term teaching",VLOOKUP($K27,Subsistence,2,0)*14+VLOOKUP($K27,Subsistence,3,0)*46+IF($F27&gt;60,VLOOKUP($K27,Subsistence,4,0)*($F27-60),0),IF(LEFT($D27,18)="Short-term joint s",IF($F27&lt;15,Ceilings!$S$3*$F27,Ceilings!$S$3*14+Ceilings!$S$4*($F27-14)),IF($F27&lt;15,Ceilings!$S$6*$F27,Ceilings!$S$6*14+Ceilings!$S$7*($F27-14)))))</f>
        <v/>
      </c>
      <c r="O27" s="284" t="str">
        <f>IF(OR(ISBLANK(D27),ISBLANK(H27),ISBLANK(K27)),"",IF(I27&lt;15,Ceilings!$S$3*I27,Ceilings!$S$3*14+Ceilings!$S$4*(I27-14)))</f>
        <v/>
      </c>
      <c r="P27" s="282" t="str">
        <f t="shared" si="2"/>
        <v/>
      </c>
      <c r="Q27" s="173"/>
      <c r="R27" s="282" t="str">
        <f>IF(OR(ISBLANK($D27),ISBLANK($K27),ISBLANK(Q27)),"",Ceilings!$V$3*Q27)</f>
        <v/>
      </c>
      <c r="S27" s="116" t="str">
        <f t="shared" si="3"/>
        <v/>
      </c>
    </row>
    <row r="28" spans="1:19" ht="15.75" customHeight="1">
      <c r="A28" s="52"/>
      <c r="B28" s="95" t="str">
        <f>IF(ISBLANK(A28),"",VLOOKUP(A28,Management!$A$6:$C$20,2,0))</f>
        <v/>
      </c>
      <c r="C28" s="81"/>
      <c r="D28" s="102"/>
      <c r="E28" s="81"/>
      <c r="F28" s="334"/>
      <c r="G28" s="182" t="str">
        <f t="shared" si="0"/>
        <v/>
      </c>
      <c r="H28" s="173"/>
      <c r="I28" s="334"/>
      <c r="J28" s="182" t="str">
        <f t="shared" si="1"/>
        <v/>
      </c>
      <c r="K28" s="125"/>
      <c r="L28" s="128"/>
      <c r="M28" s="282" t="str">
        <f>IF(ISBLANK(L28),"",SUM(E28,H28)*VLOOKUP(L28,Ceilings!$X$4:$Y$5,2,0))</f>
        <v/>
      </c>
      <c r="N28" s="283" t="str">
        <f>IF(OR(ISBLANK($D28),ISBLANK($K28)),"",IF(LEFT($D28,18)="Long-term teaching",VLOOKUP($K28,Subsistence,2,0)*14+VLOOKUP($K28,Subsistence,3,0)*46+IF($F28&gt;60,VLOOKUP($K28,Subsistence,4,0)*($F28-60),0),IF(LEFT($D28,18)="Short-term joint s",IF($F28&lt;15,Ceilings!$S$3*$F28,Ceilings!$S$3*14+Ceilings!$S$4*($F28-14)),IF($F28&lt;15,Ceilings!$S$6*$F28,Ceilings!$S$6*14+Ceilings!$S$7*($F28-14)))))</f>
        <v/>
      </c>
      <c r="O28" s="284" t="str">
        <f>IF(OR(ISBLANK(D28),ISBLANK(H28),ISBLANK(K28)),"",IF(I28&lt;15,Ceilings!$S$3*I28,Ceilings!$S$3*14+Ceilings!$S$4*(I28-14)))</f>
        <v/>
      </c>
      <c r="P28" s="282" t="str">
        <f t="shared" si="2"/>
        <v/>
      </c>
      <c r="Q28" s="173"/>
      <c r="R28" s="282" t="str">
        <f>IF(OR(ISBLANK($D28),ISBLANK($K28),ISBLANK(Q28)),"",Ceilings!$V$3*Q28)</f>
        <v/>
      </c>
      <c r="S28" s="116" t="str">
        <f t="shared" si="3"/>
        <v/>
      </c>
    </row>
    <row r="29" spans="1:19" ht="15.75" customHeight="1">
      <c r="A29" s="52"/>
      <c r="B29" s="95" t="str">
        <f>IF(ISBLANK(A29),"",VLOOKUP(A29,Management!$A$6:$C$20,2,0))</f>
        <v/>
      </c>
      <c r="C29" s="81"/>
      <c r="D29" s="102"/>
      <c r="E29" s="81"/>
      <c r="F29" s="334"/>
      <c r="G29" s="182" t="str">
        <f t="shared" si="0"/>
        <v/>
      </c>
      <c r="H29" s="173"/>
      <c r="I29" s="334"/>
      <c r="J29" s="182" t="str">
        <f t="shared" si="1"/>
        <v/>
      </c>
      <c r="K29" s="125"/>
      <c r="L29" s="128"/>
      <c r="M29" s="282" t="str">
        <f>IF(ISBLANK(L29),"",SUM(E29,H29)*VLOOKUP(L29,Ceilings!$X$4:$Y$5,2,0))</f>
        <v/>
      </c>
      <c r="N29" s="283" t="str">
        <f>IF(OR(ISBLANK($D29),ISBLANK($K29)),"",IF(LEFT($D29,18)="Long-term teaching",VLOOKUP($K29,Subsistence,2,0)*14+VLOOKUP($K29,Subsistence,3,0)*46+IF($F29&gt;60,VLOOKUP($K29,Subsistence,4,0)*($F29-60),0),IF(LEFT($D29,18)="Short-term joint s",IF($F29&lt;15,Ceilings!$S$3*$F29,Ceilings!$S$3*14+Ceilings!$S$4*($F29-14)),IF($F29&lt;15,Ceilings!$S$6*$F29,Ceilings!$S$6*14+Ceilings!$S$7*($F29-14)))))</f>
        <v/>
      </c>
      <c r="O29" s="284" t="str">
        <f>IF(OR(ISBLANK(D29),ISBLANK(H29),ISBLANK(K29)),"",IF(I29&lt;15,Ceilings!$S$3*I29,Ceilings!$S$3*14+Ceilings!$S$4*(I29-14)))</f>
        <v/>
      </c>
      <c r="P29" s="282" t="str">
        <f t="shared" si="2"/>
        <v/>
      </c>
      <c r="Q29" s="173"/>
      <c r="R29" s="282" t="str">
        <f>IF(OR(ISBLANK($D29),ISBLANK($K29),ISBLANK(Q29)),"",Ceilings!$V$3*Q29)</f>
        <v/>
      </c>
      <c r="S29" s="116" t="str">
        <f t="shared" si="3"/>
        <v/>
      </c>
    </row>
    <row r="30" spans="1:19" ht="15.75" customHeight="1">
      <c r="A30" s="52"/>
      <c r="B30" s="95" t="str">
        <f>IF(ISBLANK(A30),"",VLOOKUP(A30,Management!$A$6:$C$20,2,0))</f>
        <v/>
      </c>
      <c r="C30" s="81"/>
      <c r="D30" s="102"/>
      <c r="E30" s="81"/>
      <c r="F30" s="334"/>
      <c r="G30" s="182" t="str">
        <f t="shared" si="0"/>
        <v/>
      </c>
      <c r="H30" s="173"/>
      <c r="I30" s="334"/>
      <c r="J30" s="182" t="str">
        <f t="shared" si="1"/>
        <v/>
      </c>
      <c r="K30" s="125"/>
      <c r="L30" s="128"/>
      <c r="M30" s="282" t="str">
        <f>IF(ISBLANK(L30),"",SUM(E30,H30)*VLOOKUP(L30,Ceilings!$X$4:$Y$5,2,0))</f>
        <v/>
      </c>
      <c r="N30" s="283" t="str">
        <f>IF(OR(ISBLANK($D30),ISBLANK($K30)),"",IF(LEFT($D30,18)="Long-term teaching",VLOOKUP($K30,Subsistence,2,0)*14+VLOOKUP($K30,Subsistence,3,0)*46+IF($F30&gt;60,VLOOKUP($K30,Subsistence,4,0)*($F30-60),0),IF(LEFT($D30,18)="Short-term joint s",IF($F30&lt;15,Ceilings!$S$3*$F30,Ceilings!$S$3*14+Ceilings!$S$4*($F30-14)),IF($F30&lt;15,Ceilings!$S$6*$F30,Ceilings!$S$6*14+Ceilings!$S$7*($F30-14)))))</f>
        <v/>
      </c>
      <c r="O30" s="284" t="str">
        <f>IF(OR(ISBLANK(D30),ISBLANK(H30),ISBLANK(K30)),"",IF(I30&lt;15,Ceilings!$S$3*I30,Ceilings!$S$3*14+Ceilings!$S$4*(I30-14)))</f>
        <v/>
      </c>
      <c r="P30" s="282" t="str">
        <f t="shared" si="2"/>
        <v/>
      </c>
      <c r="Q30" s="173"/>
      <c r="R30" s="282" t="str">
        <f>IF(OR(ISBLANK($D30),ISBLANK($K30),ISBLANK(Q30)),"",Ceilings!$V$3*Q30)</f>
        <v/>
      </c>
      <c r="S30" s="116" t="str">
        <f t="shared" si="3"/>
        <v/>
      </c>
    </row>
    <row r="31" spans="1:19" ht="15.75" customHeight="1">
      <c r="A31" s="52"/>
      <c r="B31" s="95" t="str">
        <f>IF(ISBLANK(A31),"",VLOOKUP(A31,Management!$A$6:$C$20,2,0))</f>
        <v/>
      </c>
      <c r="C31" s="81"/>
      <c r="D31" s="102"/>
      <c r="E31" s="81"/>
      <c r="F31" s="334"/>
      <c r="G31" s="182" t="str">
        <f t="shared" si="0"/>
        <v/>
      </c>
      <c r="H31" s="173"/>
      <c r="I31" s="334"/>
      <c r="J31" s="182" t="str">
        <f t="shared" si="1"/>
        <v/>
      </c>
      <c r="K31" s="125"/>
      <c r="L31" s="128"/>
      <c r="M31" s="282" t="str">
        <f>IF(ISBLANK(L31),"",SUM(E31,H31)*VLOOKUP(L31,Ceilings!$X$4:$Y$5,2,0))</f>
        <v/>
      </c>
      <c r="N31" s="283" t="str">
        <f>IF(OR(ISBLANK($D31),ISBLANK($K31)),"",IF(LEFT($D31,18)="Long-term teaching",VLOOKUP($K31,Subsistence,2,0)*14+VLOOKUP($K31,Subsistence,3,0)*46+IF($F31&gt;60,VLOOKUP($K31,Subsistence,4,0)*($F31-60),0),IF(LEFT($D31,18)="Short-term joint s",IF($F31&lt;15,Ceilings!$S$3*$F31,Ceilings!$S$3*14+Ceilings!$S$4*($F31-14)),IF($F31&lt;15,Ceilings!$S$6*$F31,Ceilings!$S$6*14+Ceilings!$S$7*($F31-14)))))</f>
        <v/>
      </c>
      <c r="O31" s="284" t="str">
        <f>IF(OR(ISBLANK(D31),ISBLANK(H31),ISBLANK(K31)),"",IF(I31&lt;15,Ceilings!$S$3*I31,Ceilings!$S$3*14+Ceilings!$S$4*(I31-14)))</f>
        <v/>
      </c>
      <c r="P31" s="282" t="str">
        <f t="shared" si="2"/>
        <v/>
      </c>
      <c r="Q31" s="173"/>
      <c r="R31" s="282" t="str">
        <f>IF(OR(ISBLANK($D31),ISBLANK($K31),ISBLANK(Q31)),"",Ceilings!$V$3*Q31)</f>
        <v/>
      </c>
      <c r="S31" s="116" t="str">
        <f t="shared" si="3"/>
        <v/>
      </c>
    </row>
    <row r="32" spans="1:19" ht="15.75" customHeight="1">
      <c r="A32" s="52"/>
      <c r="B32" s="95" t="str">
        <f>IF(ISBLANK(A32),"",VLOOKUP(A32,Management!$A$6:$C$20,2,0))</f>
        <v/>
      </c>
      <c r="C32" s="81"/>
      <c r="D32" s="102"/>
      <c r="E32" s="81"/>
      <c r="F32" s="334"/>
      <c r="G32" s="182" t="str">
        <f t="shared" si="0"/>
        <v/>
      </c>
      <c r="H32" s="173"/>
      <c r="I32" s="334"/>
      <c r="J32" s="182" t="str">
        <f t="shared" si="1"/>
        <v/>
      </c>
      <c r="K32" s="125"/>
      <c r="L32" s="128"/>
      <c r="M32" s="282" t="str">
        <f>IF(ISBLANK(L32),"",SUM(E32,H32)*VLOOKUP(L32,Ceilings!$X$4:$Y$5,2,0))</f>
        <v/>
      </c>
      <c r="N32" s="283" t="str">
        <f>IF(OR(ISBLANK($D32),ISBLANK($K32)),"",IF(LEFT($D32,18)="Long-term teaching",VLOOKUP($K32,Subsistence,2,0)*14+VLOOKUP($K32,Subsistence,3,0)*46+IF($F32&gt;60,VLOOKUP($K32,Subsistence,4,0)*($F32-60),0),IF(LEFT($D32,18)="Short-term joint s",IF($F32&lt;15,Ceilings!$S$3*$F32,Ceilings!$S$3*14+Ceilings!$S$4*($F32-14)),IF($F32&lt;15,Ceilings!$S$6*$F32,Ceilings!$S$6*14+Ceilings!$S$7*($F32-14)))))</f>
        <v/>
      </c>
      <c r="O32" s="284" t="str">
        <f>IF(OR(ISBLANK(D32),ISBLANK(H32),ISBLANK(K32)),"",IF(I32&lt;15,Ceilings!$S$3*I32,Ceilings!$S$3*14+Ceilings!$S$4*(I32-14)))</f>
        <v/>
      </c>
      <c r="P32" s="282" t="str">
        <f t="shared" si="2"/>
        <v/>
      </c>
      <c r="Q32" s="173"/>
      <c r="R32" s="282" t="str">
        <f>IF(OR(ISBLANK($D32),ISBLANK($K32),ISBLANK(Q32)),"",Ceilings!$V$3*Q32)</f>
        <v/>
      </c>
      <c r="S32" s="116" t="str">
        <f t="shared" si="3"/>
        <v/>
      </c>
    </row>
    <row r="33" spans="1:19" ht="15.75" customHeight="1">
      <c r="A33" s="52"/>
      <c r="B33" s="95" t="str">
        <f>IF(ISBLANK(A33),"",VLOOKUP(A33,Management!$A$6:$C$20,2,0))</f>
        <v/>
      </c>
      <c r="C33" s="81"/>
      <c r="D33" s="102"/>
      <c r="E33" s="81"/>
      <c r="F33" s="334"/>
      <c r="G33" s="182" t="str">
        <f t="shared" si="0"/>
        <v/>
      </c>
      <c r="H33" s="173"/>
      <c r="I33" s="334"/>
      <c r="J33" s="182" t="str">
        <f t="shared" si="1"/>
        <v/>
      </c>
      <c r="K33" s="125"/>
      <c r="L33" s="128"/>
      <c r="M33" s="282" t="str">
        <f>IF(ISBLANK(L33),"",SUM(E33,H33)*VLOOKUP(L33,Ceilings!$X$4:$Y$5,2,0))</f>
        <v/>
      </c>
      <c r="N33" s="283" t="str">
        <f>IF(OR(ISBLANK($D33),ISBLANK($K33)),"",IF(LEFT($D33,18)="Long-term teaching",VLOOKUP($K33,Subsistence,2,0)*14+VLOOKUP($K33,Subsistence,3,0)*46+IF($F33&gt;60,VLOOKUP($K33,Subsistence,4,0)*($F33-60),0),IF(LEFT($D33,18)="Short-term joint s",IF($F33&lt;15,Ceilings!$S$3*$F33,Ceilings!$S$3*14+Ceilings!$S$4*($F33-14)),IF($F33&lt;15,Ceilings!$S$6*$F33,Ceilings!$S$6*14+Ceilings!$S$7*($F33-14)))))</f>
        <v/>
      </c>
      <c r="O33" s="284" t="str">
        <f>IF(OR(ISBLANK(D33),ISBLANK(H33),ISBLANK(K33)),"",IF(I33&lt;15,Ceilings!$S$3*I33,Ceilings!$S$3*14+Ceilings!$S$4*(I33-14)))</f>
        <v/>
      </c>
      <c r="P33" s="282" t="str">
        <f t="shared" si="2"/>
        <v/>
      </c>
      <c r="Q33" s="173"/>
      <c r="R33" s="282" t="str">
        <f>IF(OR(ISBLANK($D33),ISBLANK($K33),ISBLANK(Q33)),"",Ceilings!$V$3*Q33)</f>
        <v/>
      </c>
      <c r="S33" s="116" t="str">
        <f t="shared" si="3"/>
        <v/>
      </c>
    </row>
    <row r="34" spans="1:19" ht="15.75" customHeight="1">
      <c r="A34" s="52"/>
      <c r="B34" s="95" t="str">
        <f>IF(ISBLANK(A34),"",VLOOKUP(A34,Management!$A$6:$C$20,2,0))</f>
        <v/>
      </c>
      <c r="C34" s="81"/>
      <c r="D34" s="102"/>
      <c r="E34" s="81"/>
      <c r="F34" s="334"/>
      <c r="G34" s="182" t="str">
        <f t="shared" si="0"/>
        <v/>
      </c>
      <c r="H34" s="173"/>
      <c r="I34" s="334"/>
      <c r="J34" s="182" t="str">
        <f t="shared" si="1"/>
        <v/>
      </c>
      <c r="K34" s="125"/>
      <c r="L34" s="128"/>
      <c r="M34" s="282" t="str">
        <f>IF(ISBLANK(L34),"",SUM(E34,H34)*VLOOKUP(L34,Ceilings!$X$4:$Y$5,2,0))</f>
        <v/>
      </c>
      <c r="N34" s="283" t="str">
        <f>IF(OR(ISBLANK($D34),ISBLANK($K34)),"",IF(LEFT($D34,18)="Long-term teaching",VLOOKUP($K34,Subsistence,2,0)*14+VLOOKUP($K34,Subsistence,3,0)*46+IF($F34&gt;60,VLOOKUP($K34,Subsistence,4,0)*($F34-60),0),IF(LEFT($D34,18)="Short-term joint s",IF($F34&lt;15,Ceilings!$S$3*$F34,Ceilings!$S$3*14+Ceilings!$S$4*($F34-14)),IF($F34&lt;15,Ceilings!$S$6*$F34,Ceilings!$S$6*14+Ceilings!$S$7*($F34-14)))))</f>
        <v/>
      </c>
      <c r="O34" s="284" t="str">
        <f>IF(OR(ISBLANK(D34),ISBLANK(H34),ISBLANK(K34)),"",IF(I34&lt;15,Ceilings!$S$3*I34,Ceilings!$S$3*14+Ceilings!$S$4*(I34-14)))</f>
        <v/>
      </c>
      <c r="P34" s="282" t="str">
        <f t="shared" si="2"/>
        <v/>
      </c>
      <c r="Q34" s="173"/>
      <c r="R34" s="282" t="str">
        <f>IF(OR(ISBLANK($D34),ISBLANK($K34),ISBLANK(Q34)),"",Ceilings!$V$3*Q34)</f>
        <v/>
      </c>
      <c r="S34" s="116" t="str">
        <f t="shared" si="3"/>
        <v/>
      </c>
    </row>
    <row r="35" spans="1:19" ht="15.75" customHeight="1">
      <c r="A35" s="52"/>
      <c r="B35" s="95" t="str">
        <f>IF(ISBLANK(A35),"",VLOOKUP(A35,Management!$A$6:$C$20,2,0))</f>
        <v/>
      </c>
      <c r="C35" s="81"/>
      <c r="D35" s="102"/>
      <c r="E35" s="81"/>
      <c r="F35" s="334"/>
      <c r="G35" s="182" t="str">
        <f t="shared" si="0"/>
        <v/>
      </c>
      <c r="H35" s="173"/>
      <c r="I35" s="334"/>
      <c r="J35" s="182" t="str">
        <f t="shared" si="1"/>
        <v/>
      </c>
      <c r="K35" s="125"/>
      <c r="L35" s="128"/>
      <c r="M35" s="282" t="str">
        <f>IF(ISBLANK(L35),"",SUM(E35,H35)*VLOOKUP(L35,Ceilings!$X$4:$Y$5,2,0))</f>
        <v/>
      </c>
      <c r="N35" s="283" t="str">
        <f>IF(OR(ISBLANK($D35),ISBLANK($K35)),"",IF(LEFT($D35,18)="Long-term teaching",VLOOKUP($K35,Subsistence,2,0)*14+VLOOKUP($K35,Subsistence,3,0)*46+IF($F35&gt;60,VLOOKUP($K35,Subsistence,4,0)*($F35-60),0),IF(LEFT($D35,18)="Short-term joint s",IF($F35&lt;15,Ceilings!$S$3*$F35,Ceilings!$S$3*14+Ceilings!$S$4*($F35-14)),IF($F35&lt;15,Ceilings!$S$6*$F35,Ceilings!$S$6*14+Ceilings!$S$7*($F35-14)))))</f>
        <v/>
      </c>
      <c r="O35" s="284" t="str">
        <f>IF(OR(ISBLANK(D35),ISBLANK(H35),ISBLANK(K35)),"",IF(I35&lt;15,Ceilings!$S$3*I35,Ceilings!$S$3*14+Ceilings!$S$4*(I35-14)))</f>
        <v/>
      </c>
      <c r="P35" s="282" t="str">
        <f t="shared" si="2"/>
        <v/>
      </c>
      <c r="Q35" s="173"/>
      <c r="R35" s="282" t="str">
        <f>IF(OR(ISBLANK($D35),ISBLANK($K35),ISBLANK(Q35)),"",Ceilings!$V$3*Q35)</f>
        <v/>
      </c>
      <c r="S35" s="116" t="str">
        <f t="shared" si="3"/>
        <v/>
      </c>
    </row>
    <row r="36" spans="1:19" ht="15.75" customHeight="1">
      <c r="A36" s="52"/>
      <c r="B36" s="95" t="str">
        <f>IF(ISBLANK(A36),"",VLOOKUP(A36,Management!$A$6:$C$20,2,0))</f>
        <v/>
      </c>
      <c r="C36" s="81"/>
      <c r="D36" s="102"/>
      <c r="E36" s="81"/>
      <c r="F36" s="334"/>
      <c r="G36" s="182" t="str">
        <f t="shared" si="0"/>
        <v/>
      </c>
      <c r="H36" s="173"/>
      <c r="I36" s="334"/>
      <c r="J36" s="182" t="str">
        <f t="shared" si="1"/>
        <v/>
      </c>
      <c r="K36" s="125"/>
      <c r="L36" s="128"/>
      <c r="M36" s="282" t="str">
        <f>IF(ISBLANK(L36),"",SUM(E36,H36)*VLOOKUP(L36,Ceilings!$X$4:$Y$5,2,0))</f>
        <v/>
      </c>
      <c r="N36" s="283" t="str">
        <f>IF(OR(ISBLANK($D36),ISBLANK($K36)),"",IF(LEFT($D36,18)="Long-term teaching",VLOOKUP($K36,Subsistence,2,0)*14+VLOOKUP($K36,Subsistence,3,0)*46+IF($F36&gt;60,VLOOKUP($K36,Subsistence,4,0)*($F36-60),0),IF(LEFT($D36,18)="Short-term joint s",IF($F36&lt;15,Ceilings!$S$3*$F36,Ceilings!$S$3*14+Ceilings!$S$4*($F36-14)),IF($F36&lt;15,Ceilings!$S$6*$F36,Ceilings!$S$6*14+Ceilings!$S$7*($F36-14)))))</f>
        <v/>
      </c>
      <c r="O36" s="284" t="str">
        <f>IF(OR(ISBLANK(D36),ISBLANK(H36),ISBLANK(K36)),"",IF(I36&lt;15,Ceilings!$S$3*I36,Ceilings!$S$3*14+Ceilings!$S$4*(I36-14)))</f>
        <v/>
      </c>
      <c r="P36" s="282" t="str">
        <f t="shared" si="2"/>
        <v/>
      </c>
      <c r="Q36" s="173"/>
      <c r="R36" s="282" t="str">
        <f>IF(OR(ISBLANK($D36),ISBLANK($K36),ISBLANK(Q36)),"",Ceilings!$V$3*Q36)</f>
        <v/>
      </c>
      <c r="S36" s="116" t="str">
        <f t="shared" si="3"/>
        <v/>
      </c>
    </row>
    <row r="37" spans="1:19" ht="15.75" customHeight="1" thickBot="1">
      <c r="A37" s="55"/>
      <c r="B37" s="96" t="str">
        <f>IF(ISBLANK(A37),"",VLOOKUP(A37,Management!$A$6:$C$20,2,0))</f>
        <v/>
      </c>
      <c r="C37" s="83"/>
      <c r="D37" s="103"/>
      <c r="E37" s="83"/>
      <c r="F37" s="335"/>
      <c r="G37" s="183" t="str">
        <f t="shared" si="0"/>
        <v/>
      </c>
      <c r="H37" s="174"/>
      <c r="I37" s="335"/>
      <c r="J37" s="183" t="str">
        <f t="shared" si="1"/>
        <v/>
      </c>
      <c r="K37" s="126"/>
      <c r="L37" s="129"/>
      <c r="M37" s="285" t="str">
        <f>IF(ISBLANK(L37),"",SUM(E37,H37)*VLOOKUP(L37,Ceilings!$X$4:$Y$5,2,0))</f>
        <v/>
      </c>
      <c r="N37" s="286" t="str">
        <f>IF(OR(ISBLANK($D37),ISBLANK($K37)),"",IF(LEFT($D37,18)="Long-term teaching",VLOOKUP($K37,Subsistence,2,0)*14+VLOOKUP($K37,Subsistence,3,0)*46+IF($F37&gt;60,VLOOKUP($K37,Subsistence,4,0)*($F37-60),0),IF(LEFT($D37,18)="Short-term joint s",IF($F37&lt;15,Ceilings!$S$3*$F37,Ceilings!$S$3*14+Ceilings!$S$4*($F37-14)),IF($F37&lt;15,Ceilings!$S$6*$F37,Ceilings!$S$6*14+Ceilings!$S$7*($F37-14)))))</f>
        <v/>
      </c>
      <c r="O37" s="287" t="str">
        <f>IF(OR(ISBLANK(D37),ISBLANK(H37),ISBLANK(K37)),"",IF(I37&lt;15,Ceilings!$S$3*I37,Ceilings!$S$3*14+Ceilings!$S$4*(I37-14)))</f>
        <v/>
      </c>
      <c r="P37" s="285" t="str">
        <f t="shared" si="2"/>
        <v/>
      </c>
      <c r="Q37" s="174"/>
      <c r="R37" s="285" t="str">
        <f>IF(OR(ISBLANK($D37),ISBLANK($K37),ISBLANK(Q37)),"",Ceilings!$V$3*Q37)</f>
        <v/>
      </c>
      <c r="S37" s="120" t="str">
        <f t="shared" si="3"/>
        <v/>
      </c>
    </row>
  </sheetData>
  <sheetProtection password="CF02" sheet="1" objects="1" scenarios="1" sort="0" autoFilter="0"/>
  <mergeCells count="17">
    <mergeCell ref="N4:P4"/>
    <mergeCell ref="Q4:R4"/>
    <mergeCell ref="G2:O2"/>
    <mergeCell ref="G1:O1"/>
    <mergeCell ref="S4:S5"/>
    <mergeCell ref="A4:A5"/>
    <mergeCell ref="B4:B5"/>
    <mergeCell ref="C4:C5"/>
    <mergeCell ref="D4:D5"/>
    <mergeCell ref="E4:E5"/>
    <mergeCell ref="F4:G5"/>
    <mergeCell ref="H4:H5"/>
    <mergeCell ref="I4:J5"/>
    <mergeCell ref="D2:E2"/>
    <mergeCell ref="K4:K5"/>
    <mergeCell ref="L4:L5"/>
    <mergeCell ref="M4:M5"/>
  </mergeCells>
  <conditionalFormatting sqref="Q7:Q37">
    <cfRule type="expression" dxfId="16" priority="5" stopIfTrue="1">
      <formula>LEFT($D7,4)="Long"</formula>
    </cfRule>
  </conditionalFormatting>
  <conditionalFormatting sqref="K7:K37">
    <cfRule type="expression" priority="2" stopIfTrue="1">
      <formula>ISBLANK(K7)</formula>
    </cfRule>
    <cfRule type="expression" priority="3" stopIfTrue="1">
      <formula>LEFT($D7,16)="Short term joint"</formula>
    </cfRule>
    <cfRule type="cellIs" dxfId="15" priority="4" stopIfTrue="1" operator="equal">
      <formula>$B7</formula>
    </cfRule>
  </conditionalFormatting>
  <conditionalFormatting sqref="H7:H37">
    <cfRule type="expression" dxfId="14" priority="1" stopIfTrue="1">
      <formula>LEFT($D7,18)="Short-term blended"</formula>
    </cfRule>
  </conditionalFormatting>
  <dataValidations count="9">
    <dataValidation type="custom" showInputMessage="1" showErrorMessage="1" sqref="Q7:Q37">
      <formula1>LEFT($D7,4)="Long"</formula1>
    </dataValidation>
    <dataValidation type="custom" allowBlank="1" showInputMessage="1" showErrorMessage="1" error="It is not possible greater than for participants." sqref="I7:I37">
      <formula1>I7&lt;=F7</formula1>
    </dataValidation>
    <dataValidation type="list" allowBlank="1" showInputMessage="1" showErrorMessage="1" sqref="K7:K37">
      <formula1>dCountries</formula1>
    </dataValidation>
    <dataValidation type="list" allowBlank="1" showInputMessage="1" showErrorMessage="1" sqref="A7:A37">
      <formula1>Partners</formula1>
    </dataValidation>
    <dataValidation type="list" allowBlank="1" showInputMessage="1" showErrorMessage="1" sqref="D7:D37">
      <formula1>IF(ISNA(MATCH(B7,PCountries,0)),Activity_t,A_Activity_t)</formula1>
    </dataValidation>
    <dataValidation type="list" allowBlank="1" showInputMessage="1" showErrorMessage="1" sqref="L7:L37">
      <formula1>Distances</formula1>
    </dataValidation>
    <dataValidation allowBlank="1" error="Long-term teaching or training assignments &lt; 367 days, otherwise between 5 and 60 days." sqref="G7:G37 J7:J37"/>
    <dataValidation type="custom" allowBlank="1" showErrorMessage="1" error="Long-term teaching or training must be between 60 and 365 days, otherwise between 5 and 60 days." sqref="F7:F37">
      <formula1>IF(LEFT($D7,4)="Long",AND(F7&gt;59,F7&lt;366),AND(F7&gt;4,F7&lt;61))</formula1>
    </dataValidation>
    <dataValidation type="custom" showInputMessage="1" showErrorMessage="1" sqref="H7:H37">
      <formula1>LEFT($D7,18)="Short-term blended"</formula1>
    </dataValidation>
  </dataValidations>
  <printOptions horizontalCentered="1"/>
  <pageMargins left="0.27559055118110237" right="0.27559055118110237" top="0.6692913385826772" bottom="0.6692913385826772" header="0.37916666666666665" footer="0.51181102362204722"/>
  <pageSetup paperSize="9" scale="70" orientation="landscape" r:id="rId1"/>
  <headerFooter scaleWithDoc="0">
    <oddHeader>&amp;C&amp;11 2016. E+ KA204&amp;RVersion: 2016.01.17. - TKA</oddHeader>
    <oddFooter>&amp;C&amp;"Arial,Félkövér"&amp;A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X37"/>
  <sheetViews>
    <sheetView zoomScaleNormal="100" workbookViewId="0">
      <selection activeCell="A7" sqref="A7"/>
    </sheetView>
  </sheetViews>
  <sheetFormatPr defaultColWidth="8.85546875" defaultRowHeight="12.75"/>
  <cols>
    <col min="1" max="1" width="6.42578125" style="97" customWidth="1"/>
    <col min="2" max="2" width="12.7109375" style="98" bestFit="1" customWidth="1"/>
    <col min="3" max="3" width="6.85546875" style="77" bestFit="1" customWidth="1"/>
    <col min="4" max="4" width="38.42578125" style="99" customWidth="1"/>
    <col min="5" max="5" width="10.42578125" style="77" bestFit="1" customWidth="1"/>
    <col min="6" max="6" width="5.28515625" style="77" customWidth="1"/>
    <col min="7" max="7" width="5" style="77" bestFit="1" customWidth="1"/>
    <col min="8" max="8" width="10.42578125" style="77" customWidth="1"/>
    <col min="9" max="9" width="5.28515625" style="77" customWidth="1"/>
    <col min="10" max="10" width="5" style="77" bestFit="1" customWidth="1"/>
    <col min="11" max="11" width="11.7109375" style="93" customWidth="1"/>
    <col min="12" max="12" width="17.28515625" style="100" bestFit="1" customWidth="1"/>
    <col min="13" max="13" width="10" style="78" bestFit="1" customWidth="1"/>
    <col min="14" max="15" width="10.7109375" style="78" customWidth="1"/>
    <col min="16" max="16" width="10.42578125" style="78" bestFit="1" customWidth="1"/>
    <col min="17" max="17" width="10.140625" style="78" bestFit="1" customWidth="1"/>
    <col min="18" max="18" width="9.140625" style="78" bestFit="1" customWidth="1"/>
    <col min="19" max="19" width="11.42578125" style="78" bestFit="1" customWidth="1"/>
    <col min="20" max="16384" width="8.85546875" style="93"/>
  </cols>
  <sheetData>
    <row r="1" spans="1:258" s="91" customFormat="1" ht="15.75" customHeight="1">
      <c r="A1" s="235" t="s">
        <v>434</v>
      </c>
      <c r="B1" s="236"/>
      <c r="C1" s="220"/>
      <c r="D1" s="237"/>
      <c r="E1" s="220"/>
      <c r="F1" s="535" t="s">
        <v>478</v>
      </c>
      <c r="G1" s="536"/>
      <c r="H1" s="536"/>
      <c r="I1" s="537"/>
      <c r="K1" s="514" t="s">
        <v>445</v>
      </c>
      <c r="L1" s="515"/>
      <c r="M1" s="515"/>
      <c r="N1" s="515"/>
      <c r="O1" s="515"/>
      <c r="P1" s="515"/>
      <c r="Q1" s="516"/>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c r="IW1" s="93"/>
      <c r="IX1" s="93"/>
    </row>
    <row r="2" spans="1:258" s="91" customFormat="1" ht="16.5" thickBot="1">
      <c r="A2" s="238" t="s">
        <v>0</v>
      </c>
      <c r="B2" s="239"/>
      <c r="D2" s="527" t="s">
        <v>481</v>
      </c>
      <c r="E2" s="527"/>
      <c r="F2" s="538"/>
      <c r="G2" s="539"/>
      <c r="H2" s="539"/>
      <c r="I2" s="540"/>
      <c r="K2" s="511" t="s">
        <v>446</v>
      </c>
      <c r="L2" s="512"/>
      <c r="M2" s="512"/>
      <c r="N2" s="512"/>
      <c r="O2" s="512"/>
      <c r="P2" s="512"/>
      <c r="Q2" s="51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row>
    <row r="3" spans="1:258" s="92" customFormat="1" ht="13.5" thickBot="1">
      <c r="A3" s="240" t="s">
        <v>1</v>
      </c>
      <c r="B3" s="241"/>
      <c r="C3" s="229"/>
      <c r="D3" s="242"/>
      <c r="E3" s="229"/>
      <c r="F3" s="229"/>
      <c r="G3" s="229"/>
      <c r="H3" s="229"/>
      <c r="I3" s="229"/>
      <c r="J3" s="229"/>
      <c r="K3" s="243"/>
      <c r="L3" s="244"/>
      <c r="M3" s="230"/>
      <c r="N3" s="230"/>
      <c r="O3" s="230"/>
      <c r="P3" s="230"/>
      <c r="Q3" s="230"/>
      <c r="R3" s="230"/>
      <c r="S3" s="230"/>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row>
    <row r="4" spans="1:258" s="92" customFormat="1" ht="12.75" customHeight="1">
      <c r="A4" s="481" t="s">
        <v>319</v>
      </c>
      <c r="B4" s="483" t="s">
        <v>32</v>
      </c>
      <c r="C4" s="487" t="s">
        <v>337</v>
      </c>
      <c r="D4" s="517" t="s">
        <v>154</v>
      </c>
      <c r="E4" s="487" t="s">
        <v>422</v>
      </c>
      <c r="F4" s="519" t="s">
        <v>451</v>
      </c>
      <c r="G4" s="520"/>
      <c r="H4" s="487" t="s">
        <v>421</v>
      </c>
      <c r="I4" s="523" t="s">
        <v>452</v>
      </c>
      <c r="J4" s="524"/>
      <c r="K4" s="519" t="s">
        <v>35</v>
      </c>
      <c r="L4" s="528" t="s">
        <v>130</v>
      </c>
      <c r="M4" s="530" t="s">
        <v>156</v>
      </c>
      <c r="N4" s="532" t="s">
        <v>343</v>
      </c>
      <c r="O4" s="533"/>
      <c r="P4" s="534"/>
      <c r="Q4" s="509" t="s">
        <v>341</v>
      </c>
      <c r="R4" s="510"/>
      <c r="S4" s="489" t="s">
        <v>142</v>
      </c>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row>
    <row r="5" spans="1:258" s="123" customFormat="1" ht="26.25" thickBot="1">
      <c r="A5" s="482"/>
      <c r="B5" s="484"/>
      <c r="C5" s="488"/>
      <c r="D5" s="518"/>
      <c r="E5" s="488"/>
      <c r="F5" s="521"/>
      <c r="G5" s="522"/>
      <c r="H5" s="488"/>
      <c r="I5" s="525"/>
      <c r="J5" s="526"/>
      <c r="K5" s="521"/>
      <c r="L5" s="529"/>
      <c r="M5" s="531"/>
      <c r="N5" s="245" t="s">
        <v>344</v>
      </c>
      <c r="O5" s="246" t="s">
        <v>423</v>
      </c>
      <c r="P5" s="247" t="s">
        <v>342</v>
      </c>
      <c r="Q5" s="336" t="s">
        <v>155</v>
      </c>
      <c r="R5" s="247" t="s">
        <v>342</v>
      </c>
      <c r="S5" s="490"/>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c r="IV5" s="93"/>
      <c r="IW5" s="93"/>
      <c r="IX5" s="93"/>
    </row>
    <row r="6" spans="1:258" ht="13.5" thickBot="1">
      <c r="A6" s="248"/>
      <c r="B6" s="249"/>
      <c r="C6" s="250"/>
      <c r="D6" s="251"/>
      <c r="E6" s="250"/>
      <c r="F6" s="250"/>
      <c r="G6" s="250"/>
      <c r="H6" s="250"/>
      <c r="I6" s="250"/>
      <c r="J6" s="250"/>
      <c r="K6" s="251"/>
      <c r="L6" s="252" t="s">
        <v>334</v>
      </c>
      <c r="M6" s="276">
        <f>SUM(M7:M37)</f>
        <v>0</v>
      </c>
      <c r="N6" s="277"/>
      <c r="O6" s="278"/>
      <c r="P6" s="276">
        <f>SUM(P7:P37)</f>
        <v>0</v>
      </c>
      <c r="Q6" s="277"/>
      <c r="R6" s="276">
        <f>SUM(R7:R37)</f>
        <v>0</v>
      </c>
      <c r="S6" s="118">
        <f>SUM(S7:S37)</f>
        <v>0</v>
      </c>
    </row>
    <row r="7" spans="1:258" ht="15.75" customHeight="1">
      <c r="A7" s="49"/>
      <c r="B7" s="94" t="str">
        <f>IF(ISBLANK(A7),"",VLOOKUP(A7,Management!$A$6:$C$20,2,0))</f>
        <v/>
      </c>
      <c r="C7" s="79"/>
      <c r="D7" s="101"/>
      <c r="E7" s="79"/>
      <c r="F7" s="333"/>
      <c r="G7" s="181" t="str">
        <f>IF(ISBLANK($D7),"","days")</f>
        <v/>
      </c>
      <c r="H7" s="172"/>
      <c r="I7" s="333"/>
      <c r="J7" s="181" t="str">
        <f>IF(ISBLANK($D7),"","days")</f>
        <v/>
      </c>
      <c r="K7" s="124"/>
      <c r="L7" s="127"/>
      <c r="M7" s="279" t="str">
        <f>IF(ISBLANK(L7),"",SUM(E7,H7)*VLOOKUP(L7,Ceilings!$X$4:$Y$5,2,0))</f>
        <v/>
      </c>
      <c r="N7" s="280" t="str">
        <f>IF(OR(ISBLANK($D7),ISBLANK($K7)),"",IF(LEFT($D7,15)="Long-term teach",VLOOKUP($K7,Subsistence,2,0)*14+VLOOKUP($K7,Subsistence,3,0)*46+IF($F7&gt;60,VLOOKUP($K7,Subsistence,4,0)*($F7-60),0),IF(LEFT($D7,15)="Short-term join",IF($F7&lt;15,Ceilings!$S$3*$F7,Ceilings!$S$3*14+Ceilings!$S$4*($F7-14)),IF(LEFT($D7,15)="Long-term study",VLOOKUP($K7,Subsistence,5,0)*ROUND($F7/30,0),IF($F7&lt;15,Ceilings!$S$6*$F7,Ceilings!$S$6*14+Ceilings!$S$7*($F7-14))))))</f>
        <v/>
      </c>
      <c r="O7" s="281" t="str">
        <f>IF(OR(ISBLANK(D7),ISBLANK(H7),ISBLANK(K7)),"",IF(I7&lt;15,Ceilings!$S$3*I7,Ceilings!$S$3*14+Ceilings!$S$4*(I7-14)))</f>
        <v/>
      </c>
      <c r="P7" s="279" t="str">
        <f>IF(N7="","",$E7*N7+IF(O7="",0,$H7*O7))</f>
        <v/>
      </c>
      <c r="Q7" s="172"/>
      <c r="R7" s="279" t="str">
        <f>IF(OR(ISBLANK($D7),ISBLANK($K7),ISBLANK(Q7)),"",Ceilings!$V$3*Q7)</f>
        <v/>
      </c>
      <c r="S7" s="270" t="str">
        <f>IF(ISBLANK($A7),"",IF(OR(ISBLANK($C7),ISBLANK($D7),ISBLANK($E7),ISBLANK($K7)),"Missing data",IF($B7=$K7,"Same country",SUM($M7,$P7,$R7))))</f>
        <v/>
      </c>
    </row>
    <row r="8" spans="1:258" ht="15.75" customHeight="1">
      <c r="A8" s="52"/>
      <c r="B8" s="95" t="str">
        <f>IF(ISBLANK(A8),"",VLOOKUP(A8,Management!$A$6:$C$20,2,0))</f>
        <v/>
      </c>
      <c r="C8" s="81"/>
      <c r="D8" s="102"/>
      <c r="E8" s="81"/>
      <c r="F8" s="334"/>
      <c r="G8" s="182" t="str">
        <f t="shared" ref="G8:G37" si="0">IF(ISBLANK($D8),"","days")</f>
        <v/>
      </c>
      <c r="H8" s="173"/>
      <c r="I8" s="334"/>
      <c r="J8" s="182" t="str">
        <f t="shared" ref="J8:J37" si="1">IF(ISBLANK($D8),"","days")</f>
        <v/>
      </c>
      <c r="K8" s="125"/>
      <c r="L8" s="128"/>
      <c r="M8" s="282" t="str">
        <f>IF(ISBLANK(L8),"",SUM(E8,H8)*VLOOKUP(L8,Ceilings!$X$4:$Y$5,2,0))</f>
        <v/>
      </c>
      <c r="N8" s="283" t="str">
        <f>IF(OR(ISBLANK($D8),ISBLANK($K8)),"",IF(LEFT($D8,15)="Long-term teach",VLOOKUP($K8,Subsistence,2,0)*14+VLOOKUP($K8,Subsistence,3,0)*46+IF($F8&gt;60,VLOOKUP($K8,Subsistence,4,0)*($F8-60),0),IF(LEFT($D8,15)="Short-term join",IF($F8&lt;15,Ceilings!$S$3*$F8,Ceilings!$S$3*14+Ceilings!$S$4*($F8-14)),IF(LEFT($D8,15)="Long-term study",VLOOKUP($K8,Subsistence,5,0)*ROUND($F8/30,0),IF($F8&lt;15,Ceilings!$S$6*$F8,Ceilings!$S$6*14+Ceilings!$S$7*($F8-14))))))</f>
        <v/>
      </c>
      <c r="O8" s="284" t="str">
        <f>IF(OR(ISBLANK(D8),ISBLANK(H8),ISBLANK(K8)),"",IF(I8&lt;15,Ceilings!$S$3*I8,Ceilings!$S$3*14+Ceilings!$S$4*(I8-14)))</f>
        <v/>
      </c>
      <c r="P8" s="282" t="str">
        <f t="shared" ref="P8:P37" si="2">IF(N8="","",$E8*N8+IF(O8="",0,$H8*O8))</f>
        <v/>
      </c>
      <c r="Q8" s="173"/>
      <c r="R8" s="282" t="str">
        <f>IF(OR(ISBLANK($D8),ISBLANK($K8),ISBLANK(Q8)),"",Ceilings!$V$3*Q8)</f>
        <v/>
      </c>
      <c r="S8" s="116" t="str">
        <f t="shared" ref="S8:S37" si="3">IF(ISBLANK($A8),"",IF(OR(ISBLANK($C8),ISBLANK($D8),ISBLANK($E8),ISBLANK($K8)),"Missing data",IF($B8=$K8,"Same country",SUM($M8,$P8,$R8))))</f>
        <v/>
      </c>
    </row>
    <row r="9" spans="1:258" ht="15.75" customHeight="1">
      <c r="A9" s="52"/>
      <c r="B9" s="95" t="str">
        <f>IF(ISBLANK(A9),"",VLOOKUP(A9,Management!$A$6:$C$20,2,0))</f>
        <v/>
      </c>
      <c r="C9" s="81"/>
      <c r="D9" s="102"/>
      <c r="E9" s="81"/>
      <c r="F9" s="334"/>
      <c r="G9" s="182" t="str">
        <f t="shared" si="0"/>
        <v/>
      </c>
      <c r="H9" s="173"/>
      <c r="I9" s="334"/>
      <c r="J9" s="182" t="str">
        <f t="shared" si="1"/>
        <v/>
      </c>
      <c r="K9" s="125"/>
      <c r="L9" s="128"/>
      <c r="M9" s="282" t="str">
        <f>IF(ISBLANK(L9),"",SUM(E9,H9)*VLOOKUP(L9,Ceilings!$X$4:$Y$5,2,0))</f>
        <v/>
      </c>
      <c r="N9" s="283" t="str">
        <f>IF(OR(ISBLANK($D9),ISBLANK($K9)),"",IF(LEFT($D9,15)="Long-term teach",VLOOKUP($K9,Subsistence,2,0)*14+VLOOKUP($K9,Subsistence,3,0)*46+IF($F9&gt;60,VLOOKUP($K9,Subsistence,4,0)*($F9-60),0),IF(LEFT($D9,15)="Short-term join",IF($F9&lt;15,Ceilings!$S$3*$F9,Ceilings!$S$3*14+Ceilings!$S$4*($F9-14)),IF(LEFT($D9,15)="Long-term study",VLOOKUP($K9,Subsistence,5,0)*ROUND($F9/30,0),IF($F9&lt;15,Ceilings!$S$6*$F9,Ceilings!$S$6*14+Ceilings!$S$7*($F9-14))))))</f>
        <v/>
      </c>
      <c r="O9" s="284" t="str">
        <f>IF(OR(ISBLANK(D9),ISBLANK(H9),ISBLANK(K9)),"",IF(I9&lt;15,Ceilings!$S$3*I9,Ceilings!$S$3*14+Ceilings!$S$4*(I9-14)))</f>
        <v/>
      </c>
      <c r="P9" s="282" t="str">
        <f t="shared" si="2"/>
        <v/>
      </c>
      <c r="Q9" s="173"/>
      <c r="R9" s="282" t="str">
        <f>IF(OR(ISBLANK($D9),ISBLANK($K9),ISBLANK(Q9)),"",Ceilings!$V$3*Q9)</f>
        <v/>
      </c>
      <c r="S9" s="116" t="str">
        <f t="shared" si="3"/>
        <v/>
      </c>
    </row>
    <row r="10" spans="1:258" ht="15.75" customHeight="1">
      <c r="A10" s="52"/>
      <c r="B10" s="95" t="str">
        <f>IF(ISBLANK(A10),"",VLOOKUP(A10,Management!$A$6:$C$20,2,0))</f>
        <v/>
      </c>
      <c r="C10" s="81"/>
      <c r="D10" s="102"/>
      <c r="E10" s="81"/>
      <c r="F10" s="334"/>
      <c r="G10" s="182" t="str">
        <f t="shared" si="0"/>
        <v/>
      </c>
      <c r="H10" s="173"/>
      <c r="I10" s="334"/>
      <c r="J10" s="182" t="str">
        <f t="shared" si="1"/>
        <v/>
      </c>
      <c r="K10" s="125"/>
      <c r="L10" s="128"/>
      <c r="M10" s="282" t="str">
        <f>IF(ISBLANK(L10),"",SUM(E10,H10)*VLOOKUP(L10,Ceilings!$X$4:$Y$5,2,0))</f>
        <v/>
      </c>
      <c r="N10" s="283" t="str">
        <f>IF(OR(ISBLANK($D10),ISBLANK($K10)),"",IF(LEFT($D10,15)="Long-term teach",VLOOKUP($K10,Subsistence,2,0)*14+VLOOKUP($K10,Subsistence,3,0)*46+IF($F10&gt;60,VLOOKUP($K10,Subsistence,4,0)*($F10-60),0),IF(LEFT($D10,15)="Short-term join",IF($F10&lt;15,Ceilings!$S$3*$F10,Ceilings!$S$3*14+Ceilings!$S$4*($F10-14)),IF(LEFT($D10,15)="Long-term study",VLOOKUP($K10,Subsistence,5,0)*ROUND($F10/30,0),IF($F10&lt;15,Ceilings!$S$6*$F10,Ceilings!$S$6*14+Ceilings!$S$7*($F10-14))))))</f>
        <v/>
      </c>
      <c r="O10" s="284" t="str">
        <f>IF(OR(ISBLANK(D10),ISBLANK(H10),ISBLANK(K10)),"",IF(I10&lt;15,Ceilings!$S$3*I10,Ceilings!$S$3*14+Ceilings!$S$4*(I10-14)))</f>
        <v/>
      </c>
      <c r="P10" s="282" t="str">
        <f t="shared" si="2"/>
        <v/>
      </c>
      <c r="Q10" s="173"/>
      <c r="R10" s="282" t="str">
        <f>IF(OR(ISBLANK($D10),ISBLANK($K10),ISBLANK(Q10)),"",Ceilings!$V$3*Q10)</f>
        <v/>
      </c>
      <c r="S10" s="116" t="str">
        <f t="shared" si="3"/>
        <v/>
      </c>
    </row>
    <row r="11" spans="1:258" ht="15.75" customHeight="1">
      <c r="A11" s="52"/>
      <c r="B11" s="95" t="str">
        <f>IF(ISBLANK(A11),"",VLOOKUP(A11,Management!$A$6:$C$20,2,0))</f>
        <v/>
      </c>
      <c r="C11" s="81"/>
      <c r="D11" s="102"/>
      <c r="E11" s="81"/>
      <c r="F11" s="334"/>
      <c r="G11" s="182" t="str">
        <f t="shared" si="0"/>
        <v/>
      </c>
      <c r="H11" s="173"/>
      <c r="I11" s="334"/>
      <c r="J11" s="182" t="str">
        <f t="shared" si="1"/>
        <v/>
      </c>
      <c r="K11" s="125"/>
      <c r="L11" s="128"/>
      <c r="M11" s="282" t="str">
        <f>IF(ISBLANK(L11),"",SUM(E11,H11)*VLOOKUP(L11,Ceilings!$X$4:$Y$5,2,0))</f>
        <v/>
      </c>
      <c r="N11" s="283" t="str">
        <f>IF(OR(ISBLANK($D11),ISBLANK($K11)),"",IF(LEFT($D11,15)="Long-term teach",VLOOKUP($K11,Subsistence,2,0)*14+VLOOKUP($K11,Subsistence,3,0)*46+IF($F11&gt;60,VLOOKUP($K11,Subsistence,4,0)*($F11-60),0),IF(LEFT($D11,15)="Short-term join",IF($F11&lt;15,Ceilings!$S$3*$F11,Ceilings!$S$3*14+Ceilings!$S$4*($F11-14)),IF(LEFT($D11,15)="Long-term study",VLOOKUP($K11,Subsistence,5,0)*ROUND($F11/30,0),IF($F11&lt;15,Ceilings!$S$6*$F11,Ceilings!$S$6*14+Ceilings!$S$7*($F11-14))))))</f>
        <v/>
      </c>
      <c r="O11" s="284" t="str">
        <f>IF(OR(ISBLANK(D11),ISBLANK(H11),ISBLANK(K11)),"",IF(I11&lt;15,Ceilings!$S$3*I11,Ceilings!$S$3*14+Ceilings!$S$4*(I11-14)))</f>
        <v/>
      </c>
      <c r="P11" s="282" t="str">
        <f t="shared" si="2"/>
        <v/>
      </c>
      <c r="Q11" s="173"/>
      <c r="R11" s="282" t="str">
        <f>IF(OR(ISBLANK($D11),ISBLANK($K11),ISBLANK(Q11)),"",Ceilings!$V$3*Q11)</f>
        <v/>
      </c>
      <c r="S11" s="116" t="str">
        <f t="shared" si="3"/>
        <v/>
      </c>
    </row>
    <row r="12" spans="1:258" ht="15.75" customHeight="1">
      <c r="A12" s="52"/>
      <c r="B12" s="95" t="str">
        <f>IF(ISBLANK(A12),"",VLOOKUP(A12,Management!$A$6:$C$20,2,0))</f>
        <v/>
      </c>
      <c r="C12" s="81"/>
      <c r="D12" s="102"/>
      <c r="E12" s="81"/>
      <c r="F12" s="334"/>
      <c r="G12" s="182" t="str">
        <f t="shared" si="0"/>
        <v/>
      </c>
      <c r="H12" s="173"/>
      <c r="I12" s="334"/>
      <c r="J12" s="182" t="str">
        <f t="shared" si="1"/>
        <v/>
      </c>
      <c r="K12" s="125"/>
      <c r="L12" s="128"/>
      <c r="M12" s="282" t="str">
        <f>IF(ISBLANK(L12),"",SUM(E12,H12)*VLOOKUP(L12,Ceilings!$X$4:$Y$5,2,0))</f>
        <v/>
      </c>
      <c r="N12" s="283" t="str">
        <f>IF(OR(ISBLANK($D12),ISBLANK($K12)),"",IF(LEFT($D12,15)="Long-term teach",VLOOKUP($K12,Subsistence,2,0)*14+VLOOKUP($K12,Subsistence,3,0)*46+IF($F12&gt;60,VLOOKUP($K12,Subsistence,4,0)*($F12-60),0),IF(LEFT($D12,15)="Short-term join",IF($F12&lt;15,Ceilings!$S$3*$F12,Ceilings!$S$3*14+Ceilings!$S$4*($F12-14)),IF(LEFT($D12,15)="Long-term study",VLOOKUP($K12,Subsistence,5,0)*ROUND($F12/30,0),IF($F12&lt;15,Ceilings!$S$6*$F12,Ceilings!$S$6*14+Ceilings!$S$7*($F12-14))))))</f>
        <v/>
      </c>
      <c r="O12" s="284" t="str">
        <f>IF(OR(ISBLANK(D12),ISBLANK(H12),ISBLANK(K12)),"",IF(I12&lt;15,Ceilings!$S$3*I12,Ceilings!$S$3*14+Ceilings!$S$4*(I12-14)))</f>
        <v/>
      </c>
      <c r="P12" s="282" t="str">
        <f t="shared" si="2"/>
        <v/>
      </c>
      <c r="Q12" s="173"/>
      <c r="R12" s="282" t="str">
        <f>IF(OR(ISBLANK($D12),ISBLANK($K12),ISBLANK(Q12)),"",Ceilings!$V$3*Q12)</f>
        <v/>
      </c>
      <c r="S12" s="116" t="str">
        <f t="shared" si="3"/>
        <v/>
      </c>
    </row>
    <row r="13" spans="1:258" ht="15.75" customHeight="1">
      <c r="A13" s="52"/>
      <c r="B13" s="95" t="str">
        <f>IF(ISBLANK(A13),"",VLOOKUP(A13,Management!$A$6:$C$20,2,0))</f>
        <v/>
      </c>
      <c r="C13" s="81"/>
      <c r="D13" s="102"/>
      <c r="E13" s="81"/>
      <c r="F13" s="334"/>
      <c r="G13" s="182" t="str">
        <f t="shared" si="0"/>
        <v/>
      </c>
      <c r="H13" s="173"/>
      <c r="I13" s="334"/>
      <c r="J13" s="182" t="str">
        <f t="shared" si="1"/>
        <v/>
      </c>
      <c r="K13" s="125"/>
      <c r="L13" s="128"/>
      <c r="M13" s="282" t="str">
        <f>IF(ISBLANK(L13),"",SUM(E13,H13)*VLOOKUP(L13,Ceilings!$X$4:$Y$5,2,0))</f>
        <v/>
      </c>
      <c r="N13" s="283" t="str">
        <f>IF(OR(ISBLANK($D13),ISBLANK($K13)),"",IF(LEFT($D13,15)="Long-term teach",VLOOKUP($K13,Subsistence,2,0)*14+VLOOKUP($K13,Subsistence,3,0)*46+IF($F13&gt;60,VLOOKUP($K13,Subsistence,4,0)*($F13-60),0),IF(LEFT($D13,15)="Short-term join",IF($F13&lt;15,Ceilings!$S$3*$F13,Ceilings!$S$3*14+Ceilings!$S$4*($F13-14)),IF(LEFT($D13,15)="Long-term study",VLOOKUP($K13,Subsistence,5,0)*ROUND($F13/30,0),IF($F13&lt;15,Ceilings!$S$6*$F13,Ceilings!$S$6*14+Ceilings!$S$7*($F13-14))))))</f>
        <v/>
      </c>
      <c r="O13" s="284" t="str">
        <f>IF(OR(ISBLANK(D13),ISBLANK(H13),ISBLANK(K13)),"",IF(I13&lt;15,Ceilings!$S$3*I13,Ceilings!$S$3*14+Ceilings!$S$4*(I13-14)))</f>
        <v/>
      </c>
      <c r="P13" s="282" t="str">
        <f t="shared" si="2"/>
        <v/>
      </c>
      <c r="Q13" s="173"/>
      <c r="R13" s="282" t="str">
        <f>IF(OR(ISBLANK($D13),ISBLANK($K13),ISBLANK(Q13)),"",Ceilings!$V$3*Q13)</f>
        <v/>
      </c>
      <c r="S13" s="116" t="str">
        <f t="shared" si="3"/>
        <v/>
      </c>
    </row>
    <row r="14" spans="1:258" ht="15.75" customHeight="1">
      <c r="A14" s="52"/>
      <c r="B14" s="95" t="str">
        <f>IF(ISBLANK(A14),"",VLOOKUP(A14,Management!$A$6:$C$20,2,0))</f>
        <v/>
      </c>
      <c r="C14" s="81"/>
      <c r="D14" s="102"/>
      <c r="E14" s="81"/>
      <c r="F14" s="334"/>
      <c r="G14" s="182" t="str">
        <f t="shared" si="0"/>
        <v/>
      </c>
      <c r="H14" s="173"/>
      <c r="I14" s="334"/>
      <c r="J14" s="182" t="str">
        <f t="shared" si="1"/>
        <v/>
      </c>
      <c r="K14" s="125"/>
      <c r="L14" s="128"/>
      <c r="M14" s="282" t="str">
        <f>IF(ISBLANK(L14),"",SUM(E14,H14)*VLOOKUP(L14,Ceilings!$X$4:$Y$5,2,0))</f>
        <v/>
      </c>
      <c r="N14" s="283" t="str">
        <f>IF(OR(ISBLANK($D14),ISBLANK($K14)),"",IF(LEFT($D14,15)="Long-term teach",VLOOKUP($K14,Subsistence,2,0)*14+VLOOKUP($K14,Subsistence,3,0)*46+IF($F14&gt;60,VLOOKUP($K14,Subsistence,4,0)*($F14-60),0),IF(LEFT($D14,15)="Short-term join",IF($F14&lt;15,Ceilings!$S$3*$F14,Ceilings!$S$3*14+Ceilings!$S$4*($F14-14)),IF(LEFT($D14,15)="Long-term study",VLOOKUP($K14,Subsistence,5,0)*ROUND($F14/30,0),IF($F14&lt;15,Ceilings!$S$6*$F14,Ceilings!$S$6*14+Ceilings!$S$7*($F14-14))))))</f>
        <v/>
      </c>
      <c r="O14" s="284" t="str">
        <f>IF(OR(ISBLANK(D14),ISBLANK(H14),ISBLANK(K14)),"",IF(I14&lt;15,Ceilings!$S$3*I14,Ceilings!$S$3*14+Ceilings!$S$4*(I14-14)))</f>
        <v/>
      </c>
      <c r="P14" s="282" t="str">
        <f t="shared" si="2"/>
        <v/>
      </c>
      <c r="Q14" s="173"/>
      <c r="R14" s="282" t="str">
        <f>IF(OR(ISBLANK($D14),ISBLANK($K14),ISBLANK(Q14)),"",Ceilings!$V$3*Q14)</f>
        <v/>
      </c>
      <c r="S14" s="116" t="str">
        <f t="shared" si="3"/>
        <v/>
      </c>
    </row>
    <row r="15" spans="1:258" ht="15.75" customHeight="1">
      <c r="A15" s="52"/>
      <c r="B15" s="95" t="str">
        <f>IF(ISBLANK(A15),"",VLOOKUP(A15,Management!$A$6:$C$20,2,0))</f>
        <v/>
      </c>
      <c r="C15" s="81"/>
      <c r="D15" s="102"/>
      <c r="E15" s="81"/>
      <c r="F15" s="334"/>
      <c r="G15" s="182" t="str">
        <f t="shared" si="0"/>
        <v/>
      </c>
      <c r="H15" s="173"/>
      <c r="I15" s="334"/>
      <c r="J15" s="182" t="str">
        <f t="shared" si="1"/>
        <v/>
      </c>
      <c r="K15" s="125"/>
      <c r="L15" s="128"/>
      <c r="M15" s="282" t="str">
        <f>IF(ISBLANK(L15),"",SUM(E15,H15)*VLOOKUP(L15,Ceilings!$X$4:$Y$5,2,0))</f>
        <v/>
      </c>
      <c r="N15" s="283" t="str">
        <f>IF(OR(ISBLANK($D15),ISBLANK($K15)),"",IF(LEFT($D15,15)="Long-term teach",VLOOKUP($K15,Subsistence,2,0)*14+VLOOKUP($K15,Subsistence,3,0)*46+IF($F15&gt;60,VLOOKUP($K15,Subsistence,4,0)*($F15-60),0),IF(LEFT($D15,15)="Short-term join",IF($F15&lt;15,Ceilings!$S$3*$F15,Ceilings!$S$3*14+Ceilings!$S$4*($F15-14)),IF(LEFT($D15,15)="Long-term study",VLOOKUP($K15,Subsistence,5,0)*ROUND($F15/30,0),IF($F15&lt;15,Ceilings!$S$6*$F15,Ceilings!$S$6*14+Ceilings!$S$7*($F15-14))))))</f>
        <v/>
      </c>
      <c r="O15" s="284" t="str">
        <f>IF(OR(ISBLANK(D15),ISBLANK(H15),ISBLANK(K15)),"",IF(I15&lt;15,Ceilings!$S$3*I15,Ceilings!$S$3*14+Ceilings!$S$4*(I15-14)))</f>
        <v/>
      </c>
      <c r="P15" s="282" t="str">
        <f t="shared" si="2"/>
        <v/>
      </c>
      <c r="Q15" s="173"/>
      <c r="R15" s="282" t="str">
        <f>IF(OR(ISBLANK($D15),ISBLANK($K15),ISBLANK(Q15)),"",Ceilings!$V$3*Q15)</f>
        <v/>
      </c>
      <c r="S15" s="116" t="str">
        <f t="shared" si="3"/>
        <v/>
      </c>
    </row>
    <row r="16" spans="1:258" ht="15.75" customHeight="1">
      <c r="A16" s="52"/>
      <c r="B16" s="95" t="str">
        <f>IF(ISBLANK(A16),"",VLOOKUP(A16,Management!$A$6:$C$20,2,0))</f>
        <v/>
      </c>
      <c r="C16" s="81"/>
      <c r="D16" s="102"/>
      <c r="E16" s="81"/>
      <c r="F16" s="334"/>
      <c r="G16" s="182" t="str">
        <f t="shared" si="0"/>
        <v/>
      </c>
      <c r="H16" s="173"/>
      <c r="I16" s="334"/>
      <c r="J16" s="182" t="str">
        <f t="shared" si="1"/>
        <v/>
      </c>
      <c r="K16" s="125"/>
      <c r="L16" s="128"/>
      <c r="M16" s="282" t="str">
        <f>IF(ISBLANK(L16),"",SUM(E16,H16)*VLOOKUP(L16,Ceilings!$X$4:$Y$5,2,0))</f>
        <v/>
      </c>
      <c r="N16" s="283" t="str">
        <f>IF(OR(ISBLANK($D16),ISBLANK($K16)),"",IF(LEFT($D16,15)="Long-term teach",VLOOKUP($K16,Subsistence,2,0)*14+VLOOKUP($K16,Subsistence,3,0)*46+IF($F16&gt;60,VLOOKUP($K16,Subsistence,4,0)*($F16-60),0),IF(LEFT($D16,15)="Short-term join",IF($F16&lt;15,Ceilings!$S$3*$F16,Ceilings!$S$3*14+Ceilings!$S$4*($F16-14)),IF(LEFT($D16,15)="Long-term study",VLOOKUP($K16,Subsistence,5,0)*ROUND($F16/30,0),IF($F16&lt;15,Ceilings!$S$6*$F16,Ceilings!$S$6*14+Ceilings!$S$7*($F16-14))))))</f>
        <v/>
      </c>
      <c r="O16" s="284" t="str">
        <f>IF(OR(ISBLANK(D16),ISBLANK(H16),ISBLANK(K16)),"",IF(I16&lt;15,Ceilings!$S$3*I16,Ceilings!$S$3*14+Ceilings!$S$4*(I16-14)))</f>
        <v/>
      </c>
      <c r="P16" s="282" t="str">
        <f t="shared" si="2"/>
        <v/>
      </c>
      <c r="Q16" s="173"/>
      <c r="R16" s="282" t="str">
        <f>IF(OR(ISBLANK($D16),ISBLANK($K16),ISBLANK(Q16)),"",Ceilings!$V$3*Q16)</f>
        <v/>
      </c>
      <c r="S16" s="116" t="str">
        <f t="shared" si="3"/>
        <v/>
      </c>
    </row>
    <row r="17" spans="1:19" ht="15.75" customHeight="1">
      <c r="A17" s="52"/>
      <c r="B17" s="95" t="str">
        <f>IF(ISBLANK(A17),"",VLOOKUP(A17,Management!$A$6:$C$20,2,0))</f>
        <v/>
      </c>
      <c r="C17" s="81"/>
      <c r="D17" s="102"/>
      <c r="E17" s="81"/>
      <c r="F17" s="334"/>
      <c r="G17" s="182" t="str">
        <f t="shared" si="0"/>
        <v/>
      </c>
      <c r="H17" s="173"/>
      <c r="I17" s="334"/>
      <c r="J17" s="182" t="str">
        <f t="shared" si="1"/>
        <v/>
      </c>
      <c r="K17" s="125"/>
      <c r="L17" s="128"/>
      <c r="M17" s="282" t="str">
        <f>IF(ISBLANK(L17),"",SUM(E17,H17)*VLOOKUP(L17,Ceilings!$X$4:$Y$5,2,0))</f>
        <v/>
      </c>
      <c r="N17" s="283" t="str">
        <f>IF(OR(ISBLANK($D17),ISBLANK($K17)),"",IF(LEFT($D17,15)="Long-term teach",VLOOKUP($K17,Subsistence,2,0)*14+VLOOKUP($K17,Subsistence,3,0)*46+IF($F17&gt;60,VLOOKUP($K17,Subsistence,4,0)*($F17-60),0),IF(LEFT($D17,15)="Short-term join",IF($F17&lt;15,Ceilings!$S$3*$F17,Ceilings!$S$3*14+Ceilings!$S$4*($F17-14)),IF(LEFT($D17,15)="Long-term study",VLOOKUP($K17,Subsistence,5,0)*ROUND($F17/30,0),IF($F17&lt;15,Ceilings!$S$6*$F17,Ceilings!$S$6*14+Ceilings!$S$7*($F17-14))))))</f>
        <v/>
      </c>
      <c r="O17" s="284" t="str">
        <f>IF(OR(ISBLANK(D17),ISBLANK(H17),ISBLANK(K17)),"",IF(I17&lt;15,Ceilings!$S$3*I17,Ceilings!$S$3*14+Ceilings!$S$4*(I17-14)))</f>
        <v/>
      </c>
      <c r="P17" s="282" t="str">
        <f t="shared" si="2"/>
        <v/>
      </c>
      <c r="Q17" s="173"/>
      <c r="R17" s="282" t="str">
        <f>IF(OR(ISBLANK($D17),ISBLANK($K17),ISBLANK(Q17)),"",Ceilings!$V$3*Q17)</f>
        <v/>
      </c>
      <c r="S17" s="116" t="str">
        <f t="shared" si="3"/>
        <v/>
      </c>
    </row>
    <row r="18" spans="1:19" ht="15.75" customHeight="1">
      <c r="A18" s="52"/>
      <c r="B18" s="95" t="str">
        <f>IF(ISBLANK(A18),"",VLOOKUP(A18,Management!$A$6:$C$20,2,0))</f>
        <v/>
      </c>
      <c r="C18" s="81"/>
      <c r="D18" s="102"/>
      <c r="E18" s="81"/>
      <c r="F18" s="334"/>
      <c r="G18" s="182" t="str">
        <f t="shared" si="0"/>
        <v/>
      </c>
      <c r="H18" s="173"/>
      <c r="I18" s="334"/>
      <c r="J18" s="182" t="str">
        <f t="shared" si="1"/>
        <v/>
      </c>
      <c r="K18" s="125"/>
      <c r="L18" s="128"/>
      <c r="M18" s="282" t="str">
        <f>IF(ISBLANK(L18),"",SUM(E18,H18)*VLOOKUP(L18,Ceilings!$X$4:$Y$5,2,0))</f>
        <v/>
      </c>
      <c r="N18" s="283" t="str">
        <f>IF(OR(ISBLANK($D18),ISBLANK($K18)),"",IF(LEFT($D18,15)="Long-term teach",VLOOKUP($K18,Subsistence,2,0)*14+VLOOKUP($K18,Subsistence,3,0)*46+IF($F18&gt;60,VLOOKUP($K18,Subsistence,4,0)*($F18-60),0),IF(LEFT($D18,15)="Short-term join",IF($F18&lt;15,Ceilings!$S$3*$F18,Ceilings!$S$3*14+Ceilings!$S$4*($F18-14)),IF(LEFT($D18,15)="Long-term study",VLOOKUP($K18,Subsistence,5,0)*ROUND($F18/30,0),IF($F18&lt;15,Ceilings!$S$6*$F18,Ceilings!$S$6*14+Ceilings!$S$7*($F18-14))))))</f>
        <v/>
      </c>
      <c r="O18" s="284" t="str">
        <f>IF(OR(ISBLANK(D18),ISBLANK(H18),ISBLANK(K18)),"",IF(I18&lt;15,Ceilings!$S$3*I18,Ceilings!$S$3*14+Ceilings!$S$4*(I18-14)))</f>
        <v/>
      </c>
      <c r="P18" s="282" t="str">
        <f t="shared" si="2"/>
        <v/>
      </c>
      <c r="Q18" s="173"/>
      <c r="R18" s="282" t="str">
        <f>IF(OR(ISBLANK($D18),ISBLANK($K18),ISBLANK(Q18)),"",Ceilings!$V$3*Q18)</f>
        <v/>
      </c>
      <c r="S18" s="116" t="str">
        <f t="shared" si="3"/>
        <v/>
      </c>
    </row>
    <row r="19" spans="1:19" ht="15.75" customHeight="1">
      <c r="A19" s="52"/>
      <c r="B19" s="95" t="str">
        <f>IF(ISBLANK(A19),"",VLOOKUP(A19,Management!$A$6:$C$20,2,0))</f>
        <v/>
      </c>
      <c r="C19" s="81"/>
      <c r="D19" s="102"/>
      <c r="E19" s="81"/>
      <c r="F19" s="334"/>
      <c r="G19" s="182" t="str">
        <f t="shared" si="0"/>
        <v/>
      </c>
      <c r="H19" s="173"/>
      <c r="I19" s="334"/>
      <c r="J19" s="182" t="str">
        <f t="shared" si="1"/>
        <v/>
      </c>
      <c r="K19" s="125"/>
      <c r="L19" s="128"/>
      <c r="M19" s="282" t="str">
        <f>IF(ISBLANK(L19),"",SUM(E19,H19)*VLOOKUP(L19,Ceilings!$X$4:$Y$5,2,0))</f>
        <v/>
      </c>
      <c r="N19" s="283" t="str">
        <f>IF(OR(ISBLANK($D19),ISBLANK($K19)),"",IF(LEFT($D19,15)="Long-term teach",VLOOKUP($K19,Subsistence,2,0)*14+VLOOKUP($K19,Subsistence,3,0)*46+IF($F19&gt;60,VLOOKUP($K19,Subsistence,4,0)*($F19-60),0),IF(LEFT($D19,15)="Short-term join",IF($F19&lt;15,Ceilings!$S$3*$F19,Ceilings!$S$3*14+Ceilings!$S$4*($F19-14)),IF(LEFT($D19,15)="Long-term study",VLOOKUP($K19,Subsistence,5,0)*ROUND($F19/30,0),IF($F19&lt;15,Ceilings!$S$6*$F19,Ceilings!$S$6*14+Ceilings!$S$7*($F19-14))))))</f>
        <v/>
      </c>
      <c r="O19" s="284" t="str">
        <f>IF(OR(ISBLANK(D19),ISBLANK(H19),ISBLANK(K19)),"",IF(I19&lt;15,Ceilings!$S$3*I19,Ceilings!$S$3*14+Ceilings!$S$4*(I19-14)))</f>
        <v/>
      </c>
      <c r="P19" s="282" t="str">
        <f t="shared" si="2"/>
        <v/>
      </c>
      <c r="Q19" s="173"/>
      <c r="R19" s="282" t="str">
        <f>IF(OR(ISBLANK($D19),ISBLANK($K19),ISBLANK(Q19)),"",Ceilings!$V$3*Q19)</f>
        <v/>
      </c>
      <c r="S19" s="116" t="str">
        <f t="shared" si="3"/>
        <v/>
      </c>
    </row>
    <row r="20" spans="1:19" ht="15.75" customHeight="1">
      <c r="A20" s="52"/>
      <c r="B20" s="95" t="str">
        <f>IF(ISBLANK(A20),"",VLOOKUP(A20,Management!$A$6:$C$20,2,0))</f>
        <v/>
      </c>
      <c r="C20" s="81"/>
      <c r="D20" s="102"/>
      <c r="E20" s="81"/>
      <c r="F20" s="334"/>
      <c r="G20" s="182" t="str">
        <f t="shared" si="0"/>
        <v/>
      </c>
      <c r="H20" s="173"/>
      <c r="I20" s="334"/>
      <c r="J20" s="182" t="str">
        <f t="shared" si="1"/>
        <v/>
      </c>
      <c r="K20" s="125"/>
      <c r="L20" s="128"/>
      <c r="M20" s="282" t="str">
        <f>IF(ISBLANK(L20),"",SUM(E20,H20)*VLOOKUP(L20,Ceilings!$X$4:$Y$5,2,0))</f>
        <v/>
      </c>
      <c r="N20" s="283" t="str">
        <f>IF(OR(ISBLANK($D20),ISBLANK($K20)),"",IF(LEFT($D20,15)="Long-term teach",VLOOKUP($K20,Subsistence,2,0)*14+VLOOKUP($K20,Subsistence,3,0)*46+IF($F20&gt;60,VLOOKUP($K20,Subsistence,4,0)*($F20-60),0),IF(LEFT($D20,15)="Short-term join",IF($F20&lt;15,Ceilings!$S$3*$F20,Ceilings!$S$3*14+Ceilings!$S$4*($F20-14)),IF(LEFT($D20,15)="Long-term study",VLOOKUP($K20,Subsistence,5,0)*ROUND($F20/30,0),IF($F20&lt;15,Ceilings!$S$6*$F20,Ceilings!$S$6*14+Ceilings!$S$7*($F20-14))))))</f>
        <v/>
      </c>
      <c r="O20" s="284" t="str">
        <f>IF(OR(ISBLANK(D20),ISBLANK(H20),ISBLANK(K20)),"",IF(I20&lt;15,Ceilings!$S$3*I20,Ceilings!$S$3*14+Ceilings!$S$4*(I20-14)))</f>
        <v/>
      </c>
      <c r="P20" s="282" t="str">
        <f t="shared" si="2"/>
        <v/>
      </c>
      <c r="Q20" s="173"/>
      <c r="R20" s="282" t="str">
        <f>IF(OR(ISBLANK($D20),ISBLANK($K20),ISBLANK(Q20)),"",Ceilings!$V$3*Q20)</f>
        <v/>
      </c>
      <c r="S20" s="116" t="str">
        <f t="shared" si="3"/>
        <v/>
      </c>
    </row>
    <row r="21" spans="1:19" ht="15.75" customHeight="1">
      <c r="A21" s="52"/>
      <c r="B21" s="95" t="str">
        <f>IF(ISBLANK(A21),"",VLOOKUP(A21,Management!$A$6:$C$20,2,0))</f>
        <v/>
      </c>
      <c r="C21" s="81"/>
      <c r="D21" s="102"/>
      <c r="E21" s="81"/>
      <c r="F21" s="334"/>
      <c r="G21" s="182" t="str">
        <f t="shared" si="0"/>
        <v/>
      </c>
      <c r="H21" s="173"/>
      <c r="I21" s="334"/>
      <c r="J21" s="182" t="str">
        <f t="shared" si="1"/>
        <v/>
      </c>
      <c r="K21" s="125"/>
      <c r="L21" s="128"/>
      <c r="M21" s="282" t="str">
        <f>IF(ISBLANK(L21),"",SUM(E21,H21)*VLOOKUP(L21,Ceilings!$X$4:$Y$5,2,0))</f>
        <v/>
      </c>
      <c r="N21" s="283" t="str">
        <f>IF(OR(ISBLANK($D21),ISBLANK($K21)),"",IF(LEFT($D21,15)="Long-term teach",VLOOKUP($K21,Subsistence,2,0)*14+VLOOKUP($K21,Subsistence,3,0)*46+IF($F21&gt;60,VLOOKUP($K21,Subsistence,4,0)*($F21-60),0),IF(LEFT($D21,15)="Short-term join",IF($F21&lt;15,Ceilings!$S$3*$F21,Ceilings!$S$3*14+Ceilings!$S$4*($F21-14)),IF(LEFT($D21,15)="Long-term study",VLOOKUP($K21,Subsistence,5,0)*ROUND($F21/30,0),IF($F21&lt;15,Ceilings!$S$6*$F21,Ceilings!$S$6*14+Ceilings!$S$7*($F21-14))))))</f>
        <v/>
      </c>
      <c r="O21" s="284" t="str">
        <f>IF(OR(ISBLANK(D21),ISBLANK(H21),ISBLANK(K21)),"",IF(I21&lt;15,Ceilings!$S$3*I21,Ceilings!$S$3*14+Ceilings!$S$4*(I21-14)))</f>
        <v/>
      </c>
      <c r="P21" s="282" t="str">
        <f t="shared" si="2"/>
        <v/>
      </c>
      <c r="Q21" s="173"/>
      <c r="R21" s="282" t="str">
        <f>IF(OR(ISBLANK($D21),ISBLANK($K21),ISBLANK(Q21)),"",Ceilings!$V$3*Q21)</f>
        <v/>
      </c>
      <c r="S21" s="116" t="str">
        <f t="shared" si="3"/>
        <v/>
      </c>
    </row>
    <row r="22" spans="1:19" ht="15.75" customHeight="1">
      <c r="A22" s="52"/>
      <c r="B22" s="95" t="str">
        <f>IF(ISBLANK(A22),"",VLOOKUP(A22,Management!$A$6:$C$20,2,0))</f>
        <v/>
      </c>
      <c r="C22" s="81"/>
      <c r="D22" s="102"/>
      <c r="E22" s="81"/>
      <c r="F22" s="334"/>
      <c r="G22" s="182" t="str">
        <f t="shared" si="0"/>
        <v/>
      </c>
      <c r="H22" s="173"/>
      <c r="I22" s="334"/>
      <c r="J22" s="182" t="str">
        <f t="shared" si="1"/>
        <v/>
      </c>
      <c r="K22" s="125"/>
      <c r="L22" s="128"/>
      <c r="M22" s="282" t="str">
        <f>IF(ISBLANK(L22),"",SUM(E22,H22)*VLOOKUP(L22,Ceilings!$X$4:$Y$5,2,0))</f>
        <v/>
      </c>
      <c r="N22" s="283" t="str">
        <f>IF(OR(ISBLANK($D22),ISBLANK($K22)),"",IF(LEFT($D22,15)="Long-term teach",VLOOKUP($K22,Subsistence,2,0)*14+VLOOKUP($K22,Subsistence,3,0)*46+IF($F22&gt;60,VLOOKUP($K22,Subsistence,4,0)*($F22-60),0),IF(LEFT($D22,15)="Short-term join",IF($F22&lt;15,Ceilings!$S$3*$F22,Ceilings!$S$3*14+Ceilings!$S$4*($F22-14)),IF(LEFT($D22,15)="Long-term study",VLOOKUP($K22,Subsistence,5,0)*ROUND($F22/30,0),IF($F22&lt;15,Ceilings!$S$6*$F22,Ceilings!$S$6*14+Ceilings!$S$7*($F22-14))))))</f>
        <v/>
      </c>
      <c r="O22" s="284" t="str">
        <f>IF(OR(ISBLANK(D22),ISBLANK(H22),ISBLANK(K22)),"",IF(I22&lt;15,Ceilings!$S$3*I22,Ceilings!$S$3*14+Ceilings!$S$4*(I22-14)))</f>
        <v/>
      </c>
      <c r="P22" s="282" t="str">
        <f t="shared" si="2"/>
        <v/>
      </c>
      <c r="Q22" s="173"/>
      <c r="R22" s="282" t="str">
        <f>IF(OR(ISBLANK($D22),ISBLANK($K22),ISBLANK(Q22)),"",Ceilings!$V$3*Q22)</f>
        <v/>
      </c>
      <c r="S22" s="116" t="str">
        <f t="shared" si="3"/>
        <v/>
      </c>
    </row>
    <row r="23" spans="1:19" ht="15.75" customHeight="1">
      <c r="A23" s="52"/>
      <c r="B23" s="95" t="str">
        <f>IF(ISBLANK(A23),"",VLOOKUP(A23,Management!$A$6:$C$20,2,0))</f>
        <v/>
      </c>
      <c r="C23" s="81"/>
      <c r="D23" s="102"/>
      <c r="E23" s="81"/>
      <c r="F23" s="334"/>
      <c r="G23" s="182" t="str">
        <f t="shared" si="0"/>
        <v/>
      </c>
      <c r="H23" s="173"/>
      <c r="I23" s="334"/>
      <c r="J23" s="182" t="str">
        <f t="shared" si="1"/>
        <v/>
      </c>
      <c r="K23" s="125"/>
      <c r="L23" s="128"/>
      <c r="M23" s="282" t="str">
        <f>IF(ISBLANK(L23),"",SUM(E23,H23)*VLOOKUP(L23,Ceilings!$X$4:$Y$5,2,0))</f>
        <v/>
      </c>
      <c r="N23" s="283" t="str">
        <f>IF(OR(ISBLANK($D23),ISBLANK($K23)),"",IF(LEFT($D23,15)="Long-term teach",VLOOKUP($K23,Subsistence,2,0)*14+VLOOKUP($K23,Subsistence,3,0)*46+IF($F23&gt;60,VLOOKUP($K23,Subsistence,4,0)*($F23-60),0),IF(LEFT($D23,15)="Short-term join",IF($F23&lt;15,Ceilings!$S$3*$F23,Ceilings!$S$3*14+Ceilings!$S$4*($F23-14)),IF(LEFT($D23,15)="Long-term study",VLOOKUP($K23,Subsistence,5,0)*ROUND($F23/30,0),IF($F23&lt;15,Ceilings!$S$6*$F23,Ceilings!$S$6*14+Ceilings!$S$7*($F23-14))))))</f>
        <v/>
      </c>
      <c r="O23" s="284" t="str">
        <f>IF(OR(ISBLANK(D23),ISBLANK(H23),ISBLANK(K23)),"",IF(I23&lt;15,Ceilings!$S$3*I23,Ceilings!$S$3*14+Ceilings!$S$4*(I23-14)))</f>
        <v/>
      </c>
      <c r="P23" s="282" t="str">
        <f t="shared" si="2"/>
        <v/>
      </c>
      <c r="Q23" s="173"/>
      <c r="R23" s="282" t="str">
        <f>IF(OR(ISBLANK($D23),ISBLANK($K23),ISBLANK(Q23)),"",Ceilings!$V$3*Q23)</f>
        <v/>
      </c>
      <c r="S23" s="116" t="str">
        <f t="shared" si="3"/>
        <v/>
      </c>
    </row>
    <row r="24" spans="1:19" ht="15.75" customHeight="1">
      <c r="A24" s="52"/>
      <c r="B24" s="95" t="str">
        <f>IF(ISBLANK(A24),"",VLOOKUP(A24,Management!$A$6:$C$20,2,0))</f>
        <v/>
      </c>
      <c r="C24" s="81"/>
      <c r="D24" s="102"/>
      <c r="E24" s="81"/>
      <c r="F24" s="334"/>
      <c r="G24" s="182" t="str">
        <f t="shared" si="0"/>
        <v/>
      </c>
      <c r="H24" s="173"/>
      <c r="I24" s="334"/>
      <c r="J24" s="182" t="str">
        <f t="shared" si="1"/>
        <v/>
      </c>
      <c r="K24" s="125"/>
      <c r="L24" s="128"/>
      <c r="M24" s="282" t="str">
        <f>IF(ISBLANK(L24),"",SUM(E24,H24)*VLOOKUP(L24,Ceilings!$X$4:$Y$5,2,0))</f>
        <v/>
      </c>
      <c r="N24" s="283" t="str">
        <f>IF(OR(ISBLANK($D24),ISBLANK($K24)),"",IF(LEFT($D24,15)="Long-term teach",VLOOKUP($K24,Subsistence,2,0)*14+VLOOKUP($K24,Subsistence,3,0)*46+IF($F24&gt;60,VLOOKUP($K24,Subsistence,4,0)*($F24-60),0),IF(LEFT($D24,15)="Short-term join",IF($F24&lt;15,Ceilings!$S$3*$F24,Ceilings!$S$3*14+Ceilings!$S$4*($F24-14)),IF(LEFT($D24,15)="Long-term study",VLOOKUP($K24,Subsistence,5,0)*ROUND($F24/30,0),IF($F24&lt;15,Ceilings!$S$6*$F24,Ceilings!$S$6*14+Ceilings!$S$7*($F24-14))))))</f>
        <v/>
      </c>
      <c r="O24" s="284" t="str">
        <f>IF(OR(ISBLANK(D24),ISBLANK(H24),ISBLANK(K24)),"",IF(I24&lt;15,Ceilings!$S$3*I24,Ceilings!$S$3*14+Ceilings!$S$4*(I24-14)))</f>
        <v/>
      </c>
      <c r="P24" s="282" t="str">
        <f t="shared" si="2"/>
        <v/>
      </c>
      <c r="Q24" s="173"/>
      <c r="R24" s="282" t="str">
        <f>IF(OR(ISBLANK($D24),ISBLANK($K24),ISBLANK(Q24)),"",Ceilings!$V$3*Q24)</f>
        <v/>
      </c>
      <c r="S24" s="116" t="str">
        <f t="shared" si="3"/>
        <v/>
      </c>
    </row>
    <row r="25" spans="1:19" ht="15.75" customHeight="1">
      <c r="A25" s="52"/>
      <c r="B25" s="95" t="str">
        <f>IF(ISBLANK(A25),"",VLOOKUP(A25,Management!$A$6:$C$20,2,0))</f>
        <v/>
      </c>
      <c r="C25" s="81"/>
      <c r="D25" s="102"/>
      <c r="E25" s="81"/>
      <c r="F25" s="334"/>
      <c r="G25" s="182" t="str">
        <f t="shared" si="0"/>
        <v/>
      </c>
      <c r="H25" s="173"/>
      <c r="I25" s="334"/>
      <c r="J25" s="182" t="str">
        <f t="shared" si="1"/>
        <v/>
      </c>
      <c r="K25" s="125"/>
      <c r="L25" s="128"/>
      <c r="M25" s="282" t="str">
        <f>IF(ISBLANK(L25),"",SUM(E25,H25)*VLOOKUP(L25,Ceilings!$X$4:$Y$5,2,0))</f>
        <v/>
      </c>
      <c r="N25" s="283" t="str">
        <f>IF(OR(ISBLANK($D25),ISBLANK($K25)),"",IF(LEFT($D25,15)="Long-term teach",VLOOKUP($K25,Subsistence,2,0)*14+VLOOKUP($K25,Subsistence,3,0)*46+IF($F25&gt;60,VLOOKUP($K25,Subsistence,4,0)*($F25-60),0),IF(LEFT($D25,15)="Short-term join",IF($F25&lt;15,Ceilings!$S$3*$F25,Ceilings!$S$3*14+Ceilings!$S$4*($F25-14)),IF(LEFT($D25,15)="Long-term study",VLOOKUP($K25,Subsistence,5,0)*ROUND($F25/30,0),IF($F25&lt;15,Ceilings!$S$6*$F25,Ceilings!$S$6*14+Ceilings!$S$7*($F25-14))))))</f>
        <v/>
      </c>
      <c r="O25" s="284" t="str">
        <f>IF(OR(ISBLANK(D25),ISBLANK(H25),ISBLANK(K25)),"",IF(I25&lt;15,Ceilings!$S$3*I25,Ceilings!$S$3*14+Ceilings!$S$4*(I25-14)))</f>
        <v/>
      </c>
      <c r="P25" s="282" t="str">
        <f t="shared" si="2"/>
        <v/>
      </c>
      <c r="Q25" s="173"/>
      <c r="R25" s="282" t="str">
        <f>IF(OR(ISBLANK($D25),ISBLANK($K25),ISBLANK(Q25)),"",Ceilings!$V$3*Q25)</f>
        <v/>
      </c>
      <c r="S25" s="116" t="str">
        <f t="shared" si="3"/>
        <v/>
      </c>
    </row>
    <row r="26" spans="1:19" ht="15.75" customHeight="1">
      <c r="A26" s="52"/>
      <c r="B26" s="95" t="str">
        <f>IF(ISBLANK(A26),"",VLOOKUP(A26,Management!$A$6:$C$20,2,0))</f>
        <v/>
      </c>
      <c r="C26" s="81"/>
      <c r="D26" s="102"/>
      <c r="E26" s="81"/>
      <c r="F26" s="334"/>
      <c r="G26" s="182" t="str">
        <f t="shared" si="0"/>
        <v/>
      </c>
      <c r="H26" s="173"/>
      <c r="I26" s="334"/>
      <c r="J26" s="182" t="str">
        <f t="shared" si="1"/>
        <v/>
      </c>
      <c r="K26" s="125"/>
      <c r="L26" s="128"/>
      <c r="M26" s="282" t="str">
        <f>IF(ISBLANK(L26),"",SUM(E26,H26)*VLOOKUP(L26,Ceilings!$X$4:$Y$5,2,0))</f>
        <v/>
      </c>
      <c r="N26" s="283" t="str">
        <f>IF(OR(ISBLANK($D26),ISBLANK($K26)),"",IF(LEFT($D26,15)="Long-term teach",VLOOKUP($K26,Subsistence,2,0)*14+VLOOKUP($K26,Subsistence,3,0)*46+IF($F26&gt;60,VLOOKUP($K26,Subsistence,4,0)*($F26-60),0),IF(LEFT($D26,15)="Short-term join",IF($F26&lt;15,Ceilings!$S$3*$F26,Ceilings!$S$3*14+Ceilings!$S$4*($F26-14)),IF(LEFT($D26,15)="Long-term study",VLOOKUP($K26,Subsistence,5,0)*ROUND($F26/30,0),IF($F26&lt;15,Ceilings!$S$6*$F26,Ceilings!$S$6*14+Ceilings!$S$7*($F26-14))))))</f>
        <v/>
      </c>
      <c r="O26" s="284" t="str">
        <f>IF(OR(ISBLANK(D26),ISBLANK(H26),ISBLANK(K26)),"",IF(I26&lt;15,Ceilings!$S$3*I26,Ceilings!$S$3*14+Ceilings!$S$4*(I26-14)))</f>
        <v/>
      </c>
      <c r="P26" s="282" t="str">
        <f t="shared" si="2"/>
        <v/>
      </c>
      <c r="Q26" s="173"/>
      <c r="R26" s="282" t="str">
        <f>IF(OR(ISBLANK($D26),ISBLANK($K26),ISBLANK(Q26)),"",Ceilings!$V$3*Q26)</f>
        <v/>
      </c>
      <c r="S26" s="116" t="str">
        <f t="shared" si="3"/>
        <v/>
      </c>
    </row>
    <row r="27" spans="1:19" ht="15.75" customHeight="1">
      <c r="A27" s="52"/>
      <c r="B27" s="95" t="str">
        <f>IF(ISBLANK(A27),"",VLOOKUP(A27,Management!$A$6:$C$20,2,0))</f>
        <v/>
      </c>
      <c r="C27" s="81"/>
      <c r="D27" s="102"/>
      <c r="E27" s="81"/>
      <c r="F27" s="334"/>
      <c r="G27" s="182" t="str">
        <f t="shared" si="0"/>
        <v/>
      </c>
      <c r="H27" s="173"/>
      <c r="I27" s="334"/>
      <c r="J27" s="182" t="str">
        <f t="shared" si="1"/>
        <v/>
      </c>
      <c r="K27" s="125"/>
      <c r="L27" s="128"/>
      <c r="M27" s="282" t="str">
        <f>IF(ISBLANK(L27),"",SUM(E27,H27)*VLOOKUP(L27,Ceilings!$X$4:$Y$5,2,0))</f>
        <v/>
      </c>
      <c r="N27" s="283" t="str">
        <f>IF(OR(ISBLANK($D27),ISBLANK($K27)),"",IF(LEFT($D27,15)="Long-term teach",VLOOKUP($K27,Subsistence,2,0)*14+VLOOKUP($K27,Subsistence,3,0)*46+IF($F27&gt;60,VLOOKUP($K27,Subsistence,4,0)*($F27-60),0),IF(LEFT($D27,15)="Short-term join",IF($F27&lt;15,Ceilings!$S$3*$F27,Ceilings!$S$3*14+Ceilings!$S$4*($F27-14)),IF(LEFT($D27,15)="Long-term study",VLOOKUP($K27,Subsistence,5,0)*ROUND($F27/30,0),IF($F27&lt;15,Ceilings!$S$6*$F27,Ceilings!$S$6*14+Ceilings!$S$7*($F27-14))))))</f>
        <v/>
      </c>
      <c r="O27" s="284" t="str">
        <f>IF(OR(ISBLANK(D27),ISBLANK(H27),ISBLANK(K27)),"",IF(I27&lt;15,Ceilings!$S$3*I27,Ceilings!$S$3*14+Ceilings!$S$4*(I27-14)))</f>
        <v/>
      </c>
      <c r="P27" s="282" t="str">
        <f t="shared" si="2"/>
        <v/>
      </c>
      <c r="Q27" s="173"/>
      <c r="R27" s="282" t="str">
        <f>IF(OR(ISBLANK($D27),ISBLANK($K27),ISBLANK(Q27)),"",Ceilings!$V$3*Q27)</f>
        <v/>
      </c>
      <c r="S27" s="116" t="str">
        <f t="shared" si="3"/>
        <v/>
      </c>
    </row>
    <row r="28" spans="1:19" ht="15.75" customHeight="1">
      <c r="A28" s="52"/>
      <c r="B28" s="95" t="str">
        <f>IF(ISBLANK(A28),"",VLOOKUP(A28,Management!$A$6:$C$20,2,0))</f>
        <v/>
      </c>
      <c r="C28" s="81"/>
      <c r="D28" s="102"/>
      <c r="E28" s="81"/>
      <c r="F28" s="334"/>
      <c r="G28" s="182" t="str">
        <f t="shared" si="0"/>
        <v/>
      </c>
      <c r="H28" s="173"/>
      <c r="I28" s="334"/>
      <c r="J28" s="182" t="str">
        <f t="shared" si="1"/>
        <v/>
      </c>
      <c r="K28" s="125"/>
      <c r="L28" s="128"/>
      <c r="M28" s="282" t="str">
        <f>IF(ISBLANK(L28),"",SUM(E28,H28)*VLOOKUP(L28,Ceilings!$X$4:$Y$5,2,0))</f>
        <v/>
      </c>
      <c r="N28" s="283" t="str">
        <f>IF(OR(ISBLANK($D28),ISBLANK($K28)),"",IF(LEFT($D28,15)="Long-term teach",VLOOKUP($K28,Subsistence,2,0)*14+VLOOKUP($K28,Subsistence,3,0)*46+IF($F28&gt;60,VLOOKUP($K28,Subsistence,4,0)*($F28-60),0),IF(LEFT($D28,15)="Short-term join",IF($F28&lt;15,Ceilings!$S$3*$F28,Ceilings!$S$3*14+Ceilings!$S$4*($F28-14)),IF(LEFT($D28,15)="Long-term study",VLOOKUP($K28,Subsistence,5,0)*ROUND($F28/30,0),IF($F28&lt;15,Ceilings!$S$6*$F28,Ceilings!$S$6*14+Ceilings!$S$7*($F28-14))))))</f>
        <v/>
      </c>
      <c r="O28" s="284" t="str">
        <f>IF(OR(ISBLANK(D28),ISBLANK(H28),ISBLANK(K28)),"",IF(I28&lt;15,Ceilings!$S$3*I28,Ceilings!$S$3*14+Ceilings!$S$4*(I28-14)))</f>
        <v/>
      </c>
      <c r="P28" s="282" t="str">
        <f t="shared" si="2"/>
        <v/>
      </c>
      <c r="Q28" s="173"/>
      <c r="R28" s="282" t="str">
        <f>IF(OR(ISBLANK($D28),ISBLANK($K28),ISBLANK(Q28)),"",Ceilings!$V$3*Q28)</f>
        <v/>
      </c>
      <c r="S28" s="116" t="str">
        <f t="shared" si="3"/>
        <v/>
      </c>
    </row>
    <row r="29" spans="1:19" ht="15.75" customHeight="1">
      <c r="A29" s="52"/>
      <c r="B29" s="95" t="str">
        <f>IF(ISBLANK(A29),"",VLOOKUP(A29,Management!$A$6:$C$20,2,0))</f>
        <v/>
      </c>
      <c r="C29" s="81"/>
      <c r="D29" s="102"/>
      <c r="E29" s="81"/>
      <c r="F29" s="334"/>
      <c r="G29" s="182" t="str">
        <f t="shared" si="0"/>
        <v/>
      </c>
      <c r="H29" s="173"/>
      <c r="I29" s="334"/>
      <c r="J29" s="182" t="str">
        <f t="shared" si="1"/>
        <v/>
      </c>
      <c r="K29" s="125"/>
      <c r="L29" s="128"/>
      <c r="M29" s="282" t="str">
        <f>IF(ISBLANK(L29),"",SUM(E29,H29)*VLOOKUP(L29,Ceilings!$X$4:$Y$5,2,0))</f>
        <v/>
      </c>
      <c r="N29" s="283" t="str">
        <f>IF(OR(ISBLANK($D29),ISBLANK($K29)),"",IF(LEFT($D29,15)="Long-term teach",VLOOKUP($K29,Subsistence,2,0)*14+VLOOKUP($K29,Subsistence,3,0)*46+IF($F29&gt;60,VLOOKUP($K29,Subsistence,4,0)*($F29-60),0),IF(LEFT($D29,15)="Short-term join",IF($F29&lt;15,Ceilings!$S$3*$F29,Ceilings!$S$3*14+Ceilings!$S$4*($F29-14)),IF(LEFT($D29,15)="Long-term study",VLOOKUP($K29,Subsistence,5,0)*ROUND($F29/30,0),IF($F29&lt;15,Ceilings!$S$6*$F29,Ceilings!$S$6*14+Ceilings!$S$7*($F29-14))))))</f>
        <v/>
      </c>
      <c r="O29" s="284" t="str">
        <f>IF(OR(ISBLANK(D29),ISBLANK(H29),ISBLANK(K29)),"",IF(I29&lt;15,Ceilings!$S$3*I29,Ceilings!$S$3*14+Ceilings!$S$4*(I29-14)))</f>
        <v/>
      </c>
      <c r="P29" s="282" t="str">
        <f t="shared" si="2"/>
        <v/>
      </c>
      <c r="Q29" s="173"/>
      <c r="R29" s="282" t="str">
        <f>IF(OR(ISBLANK($D29),ISBLANK($K29),ISBLANK(Q29)),"",Ceilings!$V$3*Q29)</f>
        <v/>
      </c>
      <c r="S29" s="116" t="str">
        <f t="shared" si="3"/>
        <v/>
      </c>
    </row>
    <row r="30" spans="1:19" ht="15.75" customHeight="1">
      <c r="A30" s="52"/>
      <c r="B30" s="95" t="str">
        <f>IF(ISBLANK(A30),"",VLOOKUP(A30,Management!$A$6:$C$20,2,0))</f>
        <v/>
      </c>
      <c r="C30" s="81"/>
      <c r="D30" s="102"/>
      <c r="E30" s="81"/>
      <c r="F30" s="334"/>
      <c r="G30" s="182" t="str">
        <f t="shared" si="0"/>
        <v/>
      </c>
      <c r="H30" s="173"/>
      <c r="I30" s="334"/>
      <c r="J30" s="182" t="str">
        <f t="shared" si="1"/>
        <v/>
      </c>
      <c r="K30" s="125"/>
      <c r="L30" s="128"/>
      <c r="M30" s="282" t="str">
        <f>IF(ISBLANK(L30),"",SUM(E30,H30)*VLOOKUP(L30,Ceilings!$X$4:$Y$5,2,0))</f>
        <v/>
      </c>
      <c r="N30" s="283" t="str">
        <f>IF(OR(ISBLANK($D30),ISBLANK($K30)),"",IF(LEFT($D30,15)="Long-term teach",VLOOKUP($K30,Subsistence,2,0)*14+VLOOKUP($K30,Subsistence,3,0)*46+IF($F30&gt;60,VLOOKUP($K30,Subsistence,4,0)*($F30-60),0),IF(LEFT($D30,15)="Short-term join",IF($F30&lt;15,Ceilings!$S$3*$F30,Ceilings!$S$3*14+Ceilings!$S$4*($F30-14)),IF(LEFT($D30,15)="Long-term study",VLOOKUP($K30,Subsistence,5,0)*ROUND($F30/30,0),IF($F30&lt;15,Ceilings!$S$6*$F30,Ceilings!$S$6*14+Ceilings!$S$7*($F30-14))))))</f>
        <v/>
      </c>
      <c r="O30" s="284" t="str">
        <f>IF(OR(ISBLANK(D30),ISBLANK(H30),ISBLANK(K30)),"",IF(I30&lt;15,Ceilings!$S$3*I30,Ceilings!$S$3*14+Ceilings!$S$4*(I30-14)))</f>
        <v/>
      </c>
      <c r="P30" s="282" t="str">
        <f t="shared" si="2"/>
        <v/>
      </c>
      <c r="Q30" s="173"/>
      <c r="R30" s="282" t="str">
        <f>IF(OR(ISBLANK($D30),ISBLANK($K30),ISBLANK(Q30)),"",Ceilings!$V$3*Q30)</f>
        <v/>
      </c>
      <c r="S30" s="116" t="str">
        <f t="shared" si="3"/>
        <v/>
      </c>
    </row>
    <row r="31" spans="1:19" ht="15.75" customHeight="1">
      <c r="A31" s="52"/>
      <c r="B31" s="95" t="str">
        <f>IF(ISBLANK(A31),"",VLOOKUP(A31,Management!$A$6:$C$20,2,0))</f>
        <v/>
      </c>
      <c r="C31" s="81"/>
      <c r="D31" s="102"/>
      <c r="E31" s="81"/>
      <c r="F31" s="334"/>
      <c r="G31" s="182" t="str">
        <f t="shared" si="0"/>
        <v/>
      </c>
      <c r="H31" s="173"/>
      <c r="I31" s="334"/>
      <c r="J31" s="182" t="str">
        <f t="shared" si="1"/>
        <v/>
      </c>
      <c r="K31" s="125"/>
      <c r="L31" s="128"/>
      <c r="M31" s="282" t="str">
        <f>IF(ISBLANK(L31),"",SUM(E31,H31)*VLOOKUP(L31,Ceilings!$X$4:$Y$5,2,0))</f>
        <v/>
      </c>
      <c r="N31" s="283" t="str">
        <f>IF(OR(ISBLANK($D31),ISBLANK($K31)),"",IF(LEFT($D31,15)="Long-term teach",VLOOKUP($K31,Subsistence,2,0)*14+VLOOKUP($K31,Subsistence,3,0)*46+IF($F31&gt;60,VLOOKUP($K31,Subsistence,4,0)*($F31-60),0),IF(LEFT($D31,15)="Short-term join",IF($F31&lt;15,Ceilings!$S$3*$F31,Ceilings!$S$3*14+Ceilings!$S$4*($F31-14)),IF(LEFT($D31,15)="Long-term study",VLOOKUP($K31,Subsistence,5,0)*ROUND($F31/30,0),IF($F31&lt;15,Ceilings!$S$6*$F31,Ceilings!$S$6*14+Ceilings!$S$7*($F31-14))))))</f>
        <v/>
      </c>
      <c r="O31" s="284" t="str">
        <f>IF(OR(ISBLANK(D31),ISBLANK(H31),ISBLANK(K31)),"",IF(I31&lt;15,Ceilings!$S$3*I31,Ceilings!$S$3*14+Ceilings!$S$4*(I31-14)))</f>
        <v/>
      </c>
      <c r="P31" s="282" t="str">
        <f t="shared" si="2"/>
        <v/>
      </c>
      <c r="Q31" s="173"/>
      <c r="R31" s="282" t="str">
        <f>IF(OR(ISBLANK($D31),ISBLANK($K31),ISBLANK(Q31)),"",Ceilings!$V$3*Q31)</f>
        <v/>
      </c>
      <c r="S31" s="116" t="str">
        <f t="shared" si="3"/>
        <v/>
      </c>
    </row>
    <row r="32" spans="1:19" ht="15.75" customHeight="1">
      <c r="A32" s="52"/>
      <c r="B32" s="95" t="str">
        <f>IF(ISBLANK(A32),"",VLOOKUP(A32,Management!$A$6:$C$20,2,0))</f>
        <v/>
      </c>
      <c r="C32" s="81"/>
      <c r="D32" s="102"/>
      <c r="E32" s="81"/>
      <c r="F32" s="334"/>
      <c r="G32" s="182" t="str">
        <f t="shared" si="0"/>
        <v/>
      </c>
      <c r="H32" s="173"/>
      <c r="I32" s="334"/>
      <c r="J32" s="182" t="str">
        <f t="shared" si="1"/>
        <v/>
      </c>
      <c r="K32" s="125"/>
      <c r="L32" s="128"/>
      <c r="M32" s="282" t="str">
        <f>IF(ISBLANK(L32),"",SUM(E32,H32)*VLOOKUP(L32,Ceilings!$X$4:$Y$5,2,0))</f>
        <v/>
      </c>
      <c r="N32" s="283" t="str">
        <f>IF(OR(ISBLANK($D32),ISBLANK($K32)),"",IF(LEFT($D32,15)="Long-term teach",VLOOKUP($K32,Subsistence,2,0)*14+VLOOKUP($K32,Subsistence,3,0)*46+IF($F32&gt;60,VLOOKUP($K32,Subsistence,4,0)*($F32-60),0),IF(LEFT($D32,15)="Short-term join",IF($F32&lt;15,Ceilings!$S$3*$F32,Ceilings!$S$3*14+Ceilings!$S$4*($F32-14)),IF(LEFT($D32,15)="Long-term study",VLOOKUP($K32,Subsistence,5,0)*ROUND($F32/30,0),IF($F32&lt;15,Ceilings!$S$6*$F32,Ceilings!$S$6*14+Ceilings!$S$7*($F32-14))))))</f>
        <v/>
      </c>
      <c r="O32" s="284" t="str">
        <f>IF(OR(ISBLANK(D32),ISBLANK(H32),ISBLANK(K32)),"",IF(I32&lt;15,Ceilings!$S$3*I32,Ceilings!$S$3*14+Ceilings!$S$4*(I32-14)))</f>
        <v/>
      </c>
      <c r="P32" s="282" t="str">
        <f t="shared" si="2"/>
        <v/>
      </c>
      <c r="Q32" s="173"/>
      <c r="R32" s="282" t="str">
        <f>IF(OR(ISBLANK($D32),ISBLANK($K32),ISBLANK(Q32)),"",Ceilings!$V$3*Q32)</f>
        <v/>
      </c>
      <c r="S32" s="116" t="str">
        <f t="shared" si="3"/>
        <v/>
      </c>
    </row>
    <row r="33" spans="1:19" ht="15.75" customHeight="1">
      <c r="A33" s="52"/>
      <c r="B33" s="95" t="str">
        <f>IF(ISBLANK(A33),"",VLOOKUP(A33,Management!$A$6:$C$20,2,0))</f>
        <v/>
      </c>
      <c r="C33" s="81"/>
      <c r="D33" s="102"/>
      <c r="E33" s="81"/>
      <c r="F33" s="334"/>
      <c r="G33" s="182" t="str">
        <f t="shared" si="0"/>
        <v/>
      </c>
      <c r="H33" s="173"/>
      <c r="I33" s="334"/>
      <c r="J33" s="182" t="str">
        <f t="shared" si="1"/>
        <v/>
      </c>
      <c r="K33" s="125"/>
      <c r="L33" s="128"/>
      <c r="M33" s="282" t="str">
        <f>IF(ISBLANK(L33),"",SUM(E33,H33)*VLOOKUP(L33,Ceilings!$X$4:$Y$5,2,0))</f>
        <v/>
      </c>
      <c r="N33" s="283" t="str">
        <f>IF(OR(ISBLANK($D33),ISBLANK($K33)),"",IF(LEFT($D33,15)="Long-term teach",VLOOKUP($K33,Subsistence,2,0)*14+VLOOKUP($K33,Subsistence,3,0)*46+IF($F33&gt;60,VLOOKUP($K33,Subsistence,4,0)*($F33-60),0),IF(LEFT($D33,15)="Short-term join",IF($F33&lt;15,Ceilings!$S$3*$F33,Ceilings!$S$3*14+Ceilings!$S$4*($F33-14)),IF(LEFT($D33,15)="Long-term study",VLOOKUP($K33,Subsistence,5,0)*ROUND($F33/30,0),IF($F33&lt;15,Ceilings!$S$6*$F33,Ceilings!$S$6*14+Ceilings!$S$7*($F33-14))))))</f>
        <v/>
      </c>
      <c r="O33" s="284" t="str">
        <f>IF(OR(ISBLANK(D33),ISBLANK(H33),ISBLANK(K33)),"",IF(I33&lt;15,Ceilings!$S$3*I33,Ceilings!$S$3*14+Ceilings!$S$4*(I33-14)))</f>
        <v/>
      </c>
      <c r="P33" s="282" t="str">
        <f t="shared" si="2"/>
        <v/>
      </c>
      <c r="Q33" s="173"/>
      <c r="R33" s="282" t="str">
        <f>IF(OR(ISBLANK($D33),ISBLANK($K33),ISBLANK(Q33)),"",Ceilings!$V$3*Q33)</f>
        <v/>
      </c>
      <c r="S33" s="116" t="str">
        <f t="shared" si="3"/>
        <v/>
      </c>
    </row>
    <row r="34" spans="1:19" ht="15.75" customHeight="1">
      <c r="A34" s="52"/>
      <c r="B34" s="95" t="str">
        <f>IF(ISBLANK(A34),"",VLOOKUP(A34,Management!$A$6:$C$20,2,0))</f>
        <v/>
      </c>
      <c r="C34" s="81"/>
      <c r="D34" s="102"/>
      <c r="E34" s="81"/>
      <c r="F34" s="334"/>
      <c r="G34" s="182" t="str">
        <f t="shared" si="0"/>
        <v/>
      </c>
      <c r="H34" s="173"/>
      <c r="I34" s="334"/>
      <c r="J34" s="182" t="str">
        <f t="shared" si="1"/>
        <v/>
      </c>
      <c r="K34" s="125"/>
      <c r="L34" s="128"/>
      <c r="M34" s="282" t="str">
        <f>IF(ISBLANK(L34),"",SUM(E34,H34)*VLOOKUP(L34,Ceilings!$X$4:$Y$5,2,0))</f>
        <v/>
      </c>
      <c r="N34" s="283" t="str">
        <f>IF(OR(ISBLANK($D34),ISBLANK($K34)),"",IF(LEFT($D34,15)="Long-term teach",VLOOKUP($K34,Subsistence,2,0)*14+VLOOKUP($K34,Subsistence,3,0)*46+IF($F34&gt;60,VLOOKUP($K34,Subsistence,4,0)*($F34-60),0),IF(LEFT($D34,15)="Short-term join",IF($F34&lt;15,Ceilings!$S$3*$F34,Ceilings!$S$3*14+Ceilings!$S$4*($F34-14)),IF(LEFT($D34,15)="Long-term study",VLOOKUP($K34,Subsistence,5,0)*ROUND($F34/30,0),IF($F34&lt;15,Ceilings!$S$6*$F34,Ceilings!$S$6*14+Ceilings!$S$7*($F34-14))))))</f>
        <v/>
      </c>
      <c r="O34" s="284" t="str">
        <f>IF(OR(ISBLANK(D34),ISBLANK(H34),ISBLANK(K34)),"",IF(I34&lt;15,Ceilings!$S$3*I34,Ceilings!$S$3*14+Ceilings!$S$4*(I34-14)))</f>
        <v/>
      </c>
      <c r="P34" s="282" t="str">
        <f t="shared" si="2"/>
        <v/>
      </c>
      <c r="Q34" s="173"/>
      <c r="R34" s="282" t="str">
        <f>IF(OR(ISBLANK($D34),ISBLANK($K34),ISBLANK(Q34)),"",Ceilings!$V$3*Q34)</f>
        <v/>
      </c>
      <c r="S34" s="116" t="str">
        <f t="shared" si="3"/>
        <v/>
      </c>
    </row>
    <row r="35" spans="1:19" ht="15.75" customHeight="1">
      <c r="A35" s="52"/>
      <c r="B35" s="95" t="str">
        <f>IF(ISBLANK(A35),"",VLOOKUP(A35,Management!$A$6:$C$20,2,0))</f>
        <v/>
      </c>
      <c r="C35" s="81"/>
      <c r="D35" s="102"/>
      <c r="E35" s="81"/>
      <c r="F35" s="334"/>
      <c r="G35" s="182" t="str">
        <f t="shared" si="0"/>
        <v/>
      </c>
      <c r="H35" s="173"/>
      <c r="I35" s="334"/>
      <c r="J35" s="182" t="str">
        <f t="shared" si="1"/>
        <v/>
      </c>
      <c r="K35" s="125"/>
      <c r="L35" s="128"/>
      <c r="M35" s="282" t="str">
        <f>IF(ISBLANK(L35),"",SUM(E35,H35)*VLOOKUP(L35,Ceilings!$X$4:$Y$5,2,0))</f>
        <v/>
      </c>
      <c r="N35" s="283" t="str">
        <f>IF(OR(ISBLANK($D35),ISBLANK($K35)),"",IF(LEFT($D35,15)="Long-term teach",VLOOKUP($K35,Subsistence,2,0)*14+VLOOKUP($K35,Subsistence,3,0)*46+IF($F35&gt;60,VLOOKUP($K35,Subsistence,4,0)*($F35-60),0),IF(LEFT($D35,15)="Short-term join",IF($F35&lt;15,Ceilings!$S$3*$F35,Ceilings!$S$3*14+Ceilings!$S$4*($F35-14)),IF(LEFT($D35,15)="Long-term study",VLOOKUP($K35,Subsistence,5,0)*ROUND($F35/30,0),IF($F35&lt;15,Ceilings!$S$6*$F35,Ceilings!$S$6*14+Ceilings!$S$7*($F35-14))))))</f>
        <v/>
      </c>
      <c r="O35" s="284" t="str">
        <f>IF(OR(ISBLANK(D35),ISBLANK(H35),ISBLANK(K35)),"",IF(I35&lt;15,Ceilings!$S$3*I35,Ceilings!$S$3*14+Ceilings!$S$4*(I35-14)))</f>
        <v/>
      </c>
      <c r="P35" s="282" t="str">
        <f t="shared" si="2"/>
        <v/>
      </c>
      <c r="Q35" s="173"/>
      <c r="R35" s="282" t="str">
        <f>IF(OR(ISBLANK($D35),ISBLANK($K35),ISBLANK(Q35)),"",Ceilings!$V$3*Q35)</f>
        <v/>
      </c>
      <c r="S35" s="116" t="str">
        <f t="shared" si="3"/>
        <v/>
      </c>
    </row>
    <row r="36" spans="1:19" ht="15.75" customHeight="1">
      <c r="A36" s="52"/>
      <c r="B36" s="95" t="str">
        <f>IF(ISBLANK(A36),"",VLOOKUP(A36,Management!$A$6:$C$20,2,0))</f>
        <v/>
      </c>
      <c r="C36" s="81"/>
      <c r="D36" s="102"/>
      <c r="E36" s="81"/>
      <c r="F36" s="334"/>
      <c r="G36" s="182" t="str">
        <f t="shared" si="0"/>
        <v/>
      </c>
      <c r="H36" s="173"/>
      <c r="I36" s="334"/>
      <c r="J36" s="182" t="str">
        <f t="shared" si="1"/>
        <v/>
      </c>
      <c r="K36" s="125"/>
      <c r="L36" s="128"/>
      <c r="M36" s="282" t="str">
        <f>IF(ISBLANK(L36),"",SUM(E36,H36)*VLOOKUP(L36,Ceilings!$X$4:$Y$5,2,0))</f>
        <v/>
      </c>
      <c r="N36" s="283" t="str">
        <f>IF(OR(ISBLANK($D36),ISBLANK($K36)),"",IF(LEFT($D36,15)="Long-term teach",VLOOKUP($K36,Subsistence,2,0)*14+VLOOKUP($K36,Subsistence,3,0)*46+IF($F36&gt;60,VLOOKUP($K36,Subsistence,4,0)*($F36-60),0),IF(LEFT($D36,15)="Short-term join",IF($F36&lt;15,Ceilings!$S$3*$F36,Ceilings!$S$3*14+Ceilings!$S$4*($F36-14)),IF(LEFT($D36,15)="Long-term study",VLOOKUP($K36,Subsistence,5,0)*ROUND($F36/30,0),IF($F36&lt;15,Ceilings!$S$6*$F36,Ceilings!$S$6*14+Ceilings!$S$7*($F36-14))))))</f>
        <v/>
      </c>
      <c r="O36" s="284" t="str">
        <f>IF(OR(ISBLANK(D36),ISBLANK(H36),ISBLANK(K36)),"",IF(I36&lt;15,Ceilings!$S$3*I36,Ceilings!$S$3*14+Ceilings!$S$4*(I36-14)))</f>
        <v/>
      </c>
      <c r="P36" s="282" t="str">
        <f t="shared" si="2"/>
        <v/>
      </c>
      <c r="Q36" s="173"/>
      <c r="R36" s="282" t="str">
        <f>IF(OR(ISBLANK($D36),ISBLANK($K36),ISBLANK(Q36)),"",Ceilings!$V$3*Q36)</f>
        <v/>
      </c>
      <c r="S36" s="116" t="str">
        <f t="shared" si="3"/>
        <v/>
      </c>
    </row>
    <row r="37" spans="1:19" ht="15.75" customHeight="1" thickBot="1">
      <c r="A37" s="55"/>
      <c r="B37" s="96" t="str">
        <f>IF(ISBLANK(A37),"",VLOOKUP(A37,Management!$A$6:$C$20,2,0))</f>
        <v/>
      </c>
      <c r="C37" s="83"/>
      <c r="D37" s="103"/>
      <c r="E37" s="83"/>
      <c r="F37" s="335"/>
      <c r="G37" s="183" t="str">
        <f t="shared" si="0"/>
        <v/>
      </c>
      <c r="H37" s="174"/>
      <c r="I37" s="335"/>
      <c r="J37" s="183" t="str">
        <f t="shared" si="1"/>
        <v/>
      </c>
      <c r="K37" s="126"/>
      <c r="L37" s="129"/>
      <c r="M37" s="285" t="str">
        <f>IF(ISBLANK(L37),"",SUM(E37,H37)*VLOOKUP(L37,Ceilings!$X$4:$Y$5,2,0))</f>
        <v/>
      </c>
      <c r="N37" s="286" t="str">
        <f>IF(OR(ISBLANK($D37),ISBLANK($K37)),"",IF(LEFT($D37,15)="Long-term teach",VLOOKUP($K37,Subsistence,2,0)*14+VLOOKUP($K37,Subsistence,3,0)*46+IF($F37&gt;60,VLOOKUP($K37,Subsistence,4,0)*($F37-60),0),IF(LEFT($D37,15)="Short-term join",IF($F37&lt;15,Ceilings!$S$3*$F37,Ceilings!$S$3*14+Ceilings!$S$4*($F37-14)),IF(LEFT($D37,15)="Long-term study",VLOOKUP($K37,Subsistence,5,0)*ROUND($F37/30,0),IF($F37&lt;15,Ceilings!$S$6*$F37,Ceilings!$S$6*14+Ceilings!$S$7*($F37-14))))))</f>
        <v/>
      </c>
      <c r="O37" s="287" t="str">
        <f>IF(OR(ISBLANK(D37),ISBLANK(H37),ISBLANK(K37)),"",IF(I37&lt;15,Ceilings!$S$3*I37,Ceilings!$S$3*14+Ceilings!$S$4*(I37-14)))</f>
        <v/>
      </c>
      <c r="P37" s="285" t="str">
        <f t="shared" si="2"/>
        <v/>
      </c>
      <c r="Q37" s="174"/>
      <c r="R37" s="285" t="str">
        <f>IF(OR(ISBLANK($D37),ISBLANK($K37),ISBLANK(Q37)),"",Ceilings!$V$3*Q37)</f>
        <v/>
      </c>
      <c r="S37" s="120" t="str">
        <f t="shared" si="3"/>
        <v/>
      </c>
    </row>
  </sheetData>
  <sheetProtection password="CF02" sheet="1" objects="1" scenarios="1" sort="0" autoFilter="0"/>
  <mergeCells count="18">
    <mergeCell ref="F1:I2"/>
    <mergeCell ref="K1:Q1"/>
    <mergeCell ref="D2:E2"/>
    <mergeCell ref="K2:Q2"/>
    <mergeCell ref="K4:K5"/>
    <mergeCell ref="L4:L5"/>
    <mergeCell ref="M4:M5"/>
    <mergeCell ref="N4:P4"/>
    <mergeCell ref="Q4:R4"/>
    <mergeCell ref="S4:S5"/>
    <mergeCell ref="A4:A5"/>
    <mergeCell ref="B4:B5"/>
    <mergeCell ref="C4:C5"/>
    <mergeCell ref="D4:D5"/>
    <mergeCell ref="E4:E5"/>
    <mergeCell ref="F4:G5"/>
    <mergeCell ref="H4:H5"/>
    <mergeCell ref="I4:J5"/>
  </mergeCells>
  <conditionalFormatting sqref="Q7:Q37">
    <cfRule type="expression" dxfId="13" priority="4" stopIfTrue="1">
      <formula>LEFT($D7,4)="Long"</formula>
    </cfRule>
  </conditionalFormatting>
  <conditionalFormatting sqref="K7:K37">
    <cfRule type="expression" priority="1" stopIfTrue="1">
      <formula>ISBLANK(K7)</formula>
    </cfRule>
    <cfRule type="expression" priority="2" stopIfTrue="1">
      <formula>LEFT($D7,16)="Short term joint"</formula>
    </cfRule>
    <cfRule type="cellIs" dxfId="12" priority="3" stopIfTrue="1" operator="equal">
      <formula>$B7</formula>
    </cfRule>
  </conditionalFormatting>
  <dataValidations count="8">
    <dataValidation type="custom" showInputMessage="1" showErrorMessage="1" sqref="Q7:Q37">
      <formula1>LEFT($D7,4)="Long"</formula1>
    </dataValidation>
    <dataValidation type="custom" allowBlank="1" showInputMessage="1" showErrorMessage="1" error="It is not possible greater than for participants." sqref="I7:I37">
      <formula1>I7&lt;=F7</formula1>
    </dataValidation>
    <dataValidation type="list" allowBlank="1" showInputMessage="1" showErrorMessage="1" sqref="K7:K37">
      <formula1>dCountries</formula1>
    </dataValidation>
    <dataValidation type="list" allowBlank="1" showInputMessage="1" showErrorMessage="1" sqref="A7:A37">
      <formula1>Partners</formula1>
    </dataValidation>
    <dataValidation type="list" allowBlank="1" showInputMessage="1" showErrorMessage="1" sqref="D7:D37">
      <formula1>IF(ISNA(MATCH(B7,PCountries,0)),Activity_t,S_Activity_t)</formula1>
    </dataValidation>
    <dataValidation type="list" allowBlank="1" showInputMessage="1" showErrorMessage="1" sqref="L7:L37">
      <formula1>Distances</formula1>
    </dataValidation>
    <dataValidation allowBlank="1" error="Long-term teaching or training assignments &lt; 367 days, otherwise between 5 and 60 days." sqref="G7:G37 J7:J37"/>
    <dataValidation type="custom" allowBlank="1" showErrorMessage="1" error="Long-term teaching or training must be between 60 and 365 days, otherwise between 5 and 60 days." sqref="F7:F37">
      <formula1>IF(LEFT($D7,4)="Long",AND(F7&gt;59,F7&lt;366),AND(F7&gt;4,F7&lt;61))</formula1>
    </dataValidation>
  </dataValidations>
  <printOptions horizontalCentered="1"/>
  <pageMargins left="0.27559055118110237" right="0.27559055118110237" top="0.6692913385826772" bottom="0.6692913385826772" header="0.35218749999999999" footer="0.51181102362204722"/>
  <pageSetup paperSize="9" scale="69" orientation="landscape" r:id="rId1"/>
  <headerFooter scaleWithDoc="0">
    <oddHeader>&amp;C&amp;11 2016. E+ KA204&amp;RVersion: 2016.01.17. - TKA</oddHeader>
    <oddFooter>&amp;C&amp;"Arial,Félkövér"&amp;A</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ED3B417E-F23C-4E2E-8216-446B39DBFD15}">
            <xm:f>MATCH($D7,Ceilings!$J$44:$J$46,0)&gt;0</xm:f>
            <x14:dxf>
              <fill>
                <patternFill patternType="solid">
                  <bgColor theme="0"/>
                </patternFill>
              </fill>
            </x14:dxf>
          </x14:cfRule>
          <xm:sqref>H7:H37</xm:sqref>
        </x14:conditionalFormatting>
      </x14:conditionalFormattings>
    </ext>
    <ext xmlns:x14="http://schemas.microsoft.com/office/spreadsheetml/2009/9/main" uri="{CCE6A557-97BC-4b89-ADB6-D9C93CAAB3DF}">
      <x14:dataValidations xmlns:xm="http://schemas.microsoft.com/office/excel/2006/main" count="1">
        <x14:dataValidation type="custom" showInputMessage="1" showErrorMessage="1">
          <x14:formula1>
            <xm:f>MATCH($D7,Ceilings!$J$44:$J$46,0)&gt;0</xm:f>
          </x14:formula1>
          <xm:sqref>H7:H37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16</vt:i4>
      </vt:variant>
      <vt:variant>
        <vt:lpstr>Névvel ellátott tartományok</vt:lpstr>
      </vt:variant>
      <vt:variant>
        <vt:i4>35</vt:i4>
      </vt:variant>
    </vt:vector>
  </HeadingPairs>
  <TitlesOfParts>
    <vt:vector size="51" baseType="lpstr">
      <vt:lpstr>Kitöltési útmutató</vt:lpstr>
      <vt:lpstr>Overview</vt:lpstr>
      <vt:lpstr>KA2_SP_TIMELINE_TEMPLATE</vt:lpstr>
      <vt:lpstr>Management</vt:lpstr>
      <vt:lpstr>Partner meetings</vt:lpstr>
      <vt:lpstr>Intellectual outputs</vt:lpstr>
      <vt:lpstr>Multiplier events</vt:lpstr>
      <vt:lpstr>AE Transnat. training-teaching</vt:lpstr>
      <vt:lpstr>SE Transnat. training-teaching</vt:lpstr>
      <vt:lpstr>VET Transnat. training-teaching</vt:lpstr>
      <vt:lpstr>Youth Transnat. training-teach</vt:lpstr>
      <vt:lpstr>HE Transnat. training-teaching</vt:lpstr>
      <vt:lpstr>Exceptional costs</vt:lpstr>
      <vt:lpstr>Special needs</vt:lpstr>
      <vt:lpstr>Total grant requested</vt:lpstr>
      <vt:lpstr>Ceilings</vt:lpstr>
      <vt:lpstr>A_Activity_t</vt:lpstr>
      <vt:lpstr>Activity_t</vt:lpstr>
      <vt:lpstr>Ceilings</vt:lpstr>
      <vt:lpstr>Countries</vt:lpstr>
      <vt:lpstr>dCountries</vt:lpstr>
      <vt:lpstr>Distances</vt:lpstr>
      <vt:lpstr>Duration</vt:lpstr>
      <vt:lpstr>End</vt:lpstr>
      <vt:lpstr>H_Activity_t</vt:lpstr>
      <vt:lpstr>Limit</vt:lpstr>
      <vt:lpstr>'AE Transnat. training-teaching'!Nyomtatási_cím</vt:lpstr>
      <vt:lpstr>'Exceptional costs'!Nyomtatási_cím</vt:lpstr>
      <vt:lpstr>'HE Transnat. training-teaching'!Nyomtatási_cím</vt:lpstr>
      <vt:lpstr>'Intellectual outputs'!Nyomtatási_cím</vt:lpstr>
      <vt:lpstr>'Multiplier events'!Nyomtatási_cím</vt:lpstr>
      <vt:lpstr>'Partner meetings'!Nyomtatási_cím</vt:lpstr>
      <vt:lpstr>'SE Transnat. training-teaching'!Nyomtatási_cím</vt:lpstr>
      <vt:lpstr>'Special needs'!Nyomtatási_cím</vt:lpstr>
      <vt:lpstr>'VET Transnat. training-teaching'!Nyomtatási_cím</vt:lpstr>
      <vt:lpstr>'Youth Transnat. training-teach'!Nyomtatási_cím</vt:lpstr>
      <vt:lpstr>Ceilings!Nyomtatási_terület</vt:lpstr>
      <vt:lpstr>'Exceptional costs'!Nyomtatási_terület</vt:lpstr>
      <vt:lpstr>'Kitöltési útmutató'!Nyomtatási_terület</vt:lpstr>
      <vt:lpstr>Management!Nyomtatási_terület</vt:lpstr>
      <vt:lpstr>'Multiplier events'!Nyomtatási_terület</vt:lpstr>
      <vt:lpstr>'Partner meetings'!Nyomtatási_terület</vt:lpstr>
      <vt:lpstr>'Total grant requested'!Nyomtatási_terület</vt:lpstr>
      <vt:lpstr>Partners</vt:lpstr>
      <vt:lpstr>PCountries</vt:lpstr>
      <vt:lpstr>Rates</vt:lpstr>
      <vt:lpstr>S_Activity_t</vt:lpstr>
      <vt:lpstr>Start</vt:lpstr>
      <vt:lpstr>Subsistence</vt:lpstr>
      <vt:lpstr>V_Activity_t</vt:lpstr>
      <vt:lpstr>Y_Activity_t</vt:lpstr>
    </vt:vector>
  </TitlesOfParts>
  <Company>TKA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 KA2 VET termékorientált pályázatok</dc:title>
  <dc:creator>JBajan</dc:creator>
  <dc:description>toi2011</dc:description>
  <cp:lastModifiedBy>Tóth Csenge</cp:lastModifiedBy>
  <cp:lastPrinted>2016-01-17T14:46:41Z</cp:lastPrinted>
  <dcterms:created xsi:type="dcterms:W3CDTF">2006-12-14T08:14:57Z</dcterms:created>
  <dcterms:modified xsi:type="dcterms:W3CDTF">2016-01-20T09:57:37Z</dcterms:modified>
</cp:coreProperties>
</file>